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" yWindow="96" windowWidth="23256" windowHeight="13176"/>
  </bookViews>
  <sheets>
    <sheet name="spreadsheet from die to sink" sheetId="3" r:id="rId1"/>
    <sheet name="conductivity values" sheetId="1" r:id="rId2"/>
    <sheet name="figure 10" sheetId="4" r:id="rId3"/>
    <sheet name="figure 15" sheetId="5" r:id="rId4"/>
  </sheets>
  <calcPr calcId="145621"/>
</workbook>
</file>

<file path=xl/calcChain.xml><?xml version="1.0" encoding="utf-8"?>
<calcChain xmlns="http://schemas.openxmlformats.org/spreadsheetml/2006/main">
  <c r="L25" i="5" l="1"/>
  <c r="W24" i="5"/>
  <c r="U24" i="5"/>
  <c r="K24" i="5" s="1"/>
  <c r="L24" i="5"/>
  <c r="J24" i="5"/>
  <c r="W23" i="5"/>
  <c r="U23" i="5"/>
  <c r="L23" i="5"/>
  <c r="K23" i="5"/>
  <c r="J23" i="5"/>
  <c r="W22" i="5"/>
  <c r="U22" i="5"/>
  <c r="K22" i="5" s="1"/>
  <c r="L22" i="5"/>
  <c r="J22" i="5"/>
  <c r="W21" i="5"/>
  <c r="U21" i="5"/>
  <c r="L21" i="5"/>
  <c r="K21" i="5"/>
  <c r="J21" i="5"/>
  <c r="W20" i="5"/>
  <c r="U20" i="5"/>
  <c r="K20" i="5" s="1"/>
  <c r="L20" i="5"/>
  <c r="J20" i="5"/>
  <c r="W19" i="5"/>
  <c r="O19" i="5"/>
  <c r="L19" i="5"/>
  <c r="K19" i="5"/>
  <c r="U19" i="5" s="1"/>
  <c r="J19" i="5"/>
  <c r="E19" i="5"/>
  <c r="B19" i="5"/>
  <c r="L25" i="4"/>
  <c r="W24" i="4"/>
  <c r="U24" i="4"/>
  <c r="L24" i="4"/>
  <c r="K24" i="4"/>
  <c r="J24" i="4"/>
  <c r="W23" i="4"/>
  <c r="U23" i="4"/>
  <c r="K23" i="4" s="1"/>
  <c r="L23" i="4"/>
  <c r="J23" i="4"/>
  <c r="W22" i="4"/>
  <c r="U22" i="4"/>
  <c r="L22" i="4"/>
  <c r="K22" i="4"/>
  <c r="J22" i="4"/>
  <c r="W21" i="4"/>
  <c r="U21" i="4"/>
  <c r="K21" i="4" s="1"/>
  <c r="L21" i="4"/>
  <c r="J21" i="4"/>
  <c r="W20" i="4"/>
  <c r="U20" i="4"/>
  <c r="L20" i="4"/>
  <c r="K20" i="4"/>
  <c r="J20" i="4"/>
  <c r="W19" i="4"/>
  <c r="U19" i="4"/>
  <c r="O19" i="4"/>
  <c r="L19" i="4"/>
  <c r="K19" i="4"/>
  <c r="J19" i="4"/>
  <c r="G19" i="4"/>
  <c r="F19" i="4"/>
  <c r="E20" i="4" s="1"/>
  <c r="E19" i="4"/>
  <c r="D19" i="4"/>
  <c r="H19" i="4" s="1"/>
  <c r="C19" i="4"/>
  <c r="B20" i="4" s="1"/>
  <c r="B19" i="4"/>
  <c r="F19" i="5" l="1"/>
  <c r="E20" i="5" s="1"/>
  <c r="C19" i="5"/>
  <c r="B20" i="5" s="1"/>
  <c r="C20" i="4"/>
  <c r="D20" i="4"/>
  <c r="P12" i="4"/>
  <c r="I19" i="4"/>
  <c r="M19" i="4" s="1"/>
  <c r="G20" i="4"/>
  <c r="F20" i="4"/>
  <c r="O19" i="3"/>
  <c r="K19" i="3" s="1"/>
  <c r="U19" i="3" s="1"/>
  <c r="U20" i="3"/>
  <c r="K20" i="3" s="1"/>
  <c r="U21" i="3"/>
  <c r="K21" i="3" s="1"/>
  <c r="L25" i="3"/>
  <c r="W24" i="3"/>
  <c r="U24" i="3"/>
  <c r="K24" i="3" s="1"/>
  <c r="L24" i="3"/>
  <c r="J24" i="3"/>
  <c r="W23" i="3"/>
  <c r="U23" i="3"/>
  <c r="K23" i="3" s="1"/>
  <c r="L23" i="3"/>
  <c r="J23" i="3"/>
  <c r="W22" i="3"/>
  <c r="U22" i="3"/>
  <c r="K22" i="3" s="1"/>
  <c r="L22" i="3"/>
  <c r="J22" i="3"/>
  <c r="W21" i="3"/>
  <c r="L21" i="3"/>
  <c r="J21" i="3"/>
  <c r="W20" i="3"/>
  <c r="L20" i="3"/>
  <c r="J20" i="3"/>
  <c r="W19" i="3"/>
  <c r="L19" i="3"/>
  <c r="J19" i="3"/>
  <c r="E19" i="3"/>
  <c r="F19" i="3" s="1"/>
  <c r="E20" i="3" s="1"/>
  <c r="F20" i="3" s="1"/>
  <c r="S20" i="3" s="1"/>
  <c r="B19" i="3"/>
  <c r="C19" i="3" s="1"/>
  <c r="F20" i="5" l="1"/>
  <c r="G19" i="5"/>
  <c r="C20" i="5"/>
  <c r="D19" i="5"/>
  <c r="N19" i="4"/>
  <c r="H20" i="4"/>
  <c r="I20" i="4" s="1"/>
  <c r="M20" i="4" s="1"/>
  <c r="N20" i="4" s="1"/>
  <c r="O20" i="4" s="1"/>
  <c r="R20" i="4"/>
  <c r="B21" i="4"/>
  <c r="E21" i="4"/>
  <c r="S20" i="4"/>
  <c r="F21" i="3"/>
  <c r="B20" i="3"/>
  <c r="D19" i="3"/>
  <c r="E21" i="3"/>
  <c r="G19" i="3"/>
  <c r="H19" i="5" l="1"/>
  <c r="E21" i="5"/>
  <c r="S20" i="5"/>
  <c r="B21" i="5"/>
  <c r="R20" i="5"/>
  <c r="G20" i="5"/>
  <c r="D20" i="5"/>
  <c r="H20" i="5" s="1"/>
  <c r="I20" i="5" s="1"/>
  <c r="N20" i="5" s="1"/>
  <c r="O20" i="5" s="1"/>
  <c r="F21" i="4"/>
  <c r="G21" i="4"/>
  <c r="D21" i="4"/>
  <c r="H21" i="4" s="1"/>
  <c r="I21" i="4" s="1"/>
  <c r="M21" i="4" s="1"/>
  <c r="C21" i="4"/>
  <c r="H19" i="3"/>
  <c r="P12" i="3" s="1"/>
  <c r="C20" i="3"/>
  <c r="G20" i="3"/>
  <c r="G31" i="1"/>
  <c r="G27" i="1"/>
  <c r="F13" i="1"/>
  <c r="F17" i="1"/>
  <c r="F16" i="1"/>
  <c r="F8" i="1"/>
  <c r="F6" i="1"/>
  <c r="F12" i="1"/>
  <c r="F14" i="1"/>
  <c r="F11" i="1"/>
  <c r="F10" i="1"/>
  <c r="F9" i="1"/>
  <c r="F7" i="1"/>
  <c r="F5" i="1"/>
  <c r="F4" i="1"/>
  <c r="K17" i="1" s="1"/>
  <c r="F3" i="1"/>
  <c r="F21" i="5" l="1"/>
  <c r="G21" i="5"/>
  <c r="P12" i="5"/>
  <c r="I19" i="5"/>
  <c r="C21" i="5"/>
  <c r="N21" i="4"/>
  <c r="O21" i="4" s="1"/>
  <c r="O12" i="4"/>
  <c r="S21" i="4"/>
  <c r="E22" i="4"/>
  <c r="B22" i="4"/>
  <c r="R21" i="4"/>
  <c r="I19" i="3"/>
  <c r="M19" i="3" s="1"/>
  <c r="B21" i="3"/>
  <c r="C21" i="3" s="1"/>
  <c r="R20" i="3"/>
  <c r="E22" i="3"/>
  <c r="S21" i="3"/>
  <c r="D20" i="3"/>
  <c r="H20" i="3" s="1"/>
  <c r="I20" i="3" s="1"/>
  <c r="M20" i="3" s="1"/>
  <c r="K12" i="1"/>
  <c r="F22" i="3"/>
  <c r="G21" i="3"/>
  <c r="K16" i="1"/>
  <c r="K4" i="1"/>
  <c r="K15" i="1"/>
  <c r="K7" i="1"/>
  <c r="K14" i="1"/>
  <c r="K9" i="1"/>
  <c r="K3" i="1"/>
  <c r="K10" i="1"/>
  <c r="K6" i="1"/>
  <c r="K13" i="1"/>
  <c r="K5" i="1"/>
  <c r="K11" i="1"/>
  <c r="K8" i="1"/>
  <c r="B22" i="5" l="1"/>
  <c r="R21" i="5"/>
  <c r="D21" i="5"/>
  <c r="H21" i="5" s="1"/>
  <c r="I21" i="5" s="1"/>
  <c r="N21" i="5" s="1"/>
  <c r="O21" i="5" s="1"/>
  <c r="S21" i="5"/>
  <c r="E22" i="5"/>
  <c r="N19" i="5"/>
  <c r="O12" i="5"/>
  <c r="C22" i="4"/>
  <c r="D22" i="4"/>
  <c r="G22" i="4"/>
  <c r="F22" i="4"/>
  <c r="B22" i="3"/>
  <c r="C22" i="3" s="1"/>
  <c r="R21" i="3"/>
  <c r="E23" i="3"/>
  <c r="F23" i="3" s="1"/>
  <c r="S22" i="3"/>
  <c r="N20" i="3"/>
  <c r="O20" i="3" s="1"/>
  <c r="G22" i="3"/>
  <c r="D21" i="3"/>
  <c r="H21" i="3" s="1"/>
  <c r="I21" i="3" s="1"/>
  <c r="M21" i="3" s="1"/>
  <c r="O12" i="3" s="1"/>
  <c r="F22" i="5" l="1"/>
  <c r="C22" i="5"/>
  <c r="H22" i="4"/>
  <c r="I22" i="4" s="1"/>
  <c r="M22" i="4" s="1"/>
  <c r="B23" i="4"/>
  <c r="R22" i="4"/>
  <c r="E23" i="4"/>
  <c r="S22" i="4"/>
  <c r="B23" i="3"/>
  <c r="C23" i="3" s="1"/>
  <c r="R22" i="3"/>
  <c r="E24" i="3"/>
  <c r="F24" i="3" s="1"/>
  <c r="S23" i="3"/>
  <c r="N21" i="3"/>
  <c r="O21" i="3" s="1"/>
  <c r="G23" i="3"/>
  <c r="D22" i="3"/>
  <c r="H22" i="3" s="1"/>
  <c r="I22" i="3" s="1"/>
  <c r="E23" i="5" l="1"/>
  <c r="S22" i="5"/>
  <c r="G22" i="5"/>
  <c r="B23" i="5"/>
  <c r="R22" i="5"/>
  <c r="D22" i="5"/>
  <c r="C23" i="4"/>
  <c r="N22" i="4"/>
  <c r="O22" i="4" s="1"/>
  <c r="O13" i="4"/>
  <c r="G23" i="4"/>
  <c r="F23" i="4"/>
  <c r="B24" i="3"/>
  <c r="C24" i="3" s="1"/>
  <c r="R23" i="3"/>
  <c r="E25" i="3"/>
  <c r="S24" i="3"/>
  <c r="M22" i="3"/>
  <c r="N22" i="3" s="1"/>
  <c r="O22" i="3" s="1"/>
  <c r="D23" i="3"/>
  <c r="H23" i="3" s="1"/>
  <c r="I23" i="3" s="1"/>
  <c r="G24" i="3"/>
  <c r="H22" i="5" l="1"/>
  <c r="I22" i="5" s="1"/>
  <c r="M22" i="5" s="1"/>
  <c r="C23" i="5"/>
  <c r="F23" i="5"/>
  <c r="G23" i="5"/>
  <c r="B24" i="4"/>
  <c r="R23" i="4"/>
  <c r="D23" i="4"/>
  <c r="H23" i="4" s="1"/>
  <c r="I23" i="4" s="1"/>
  <c r="M23" i="4" s="1"/>
  <c r="S23" i="4"/>
  <c r="E24" i="4"/>
  <c r="B25" i="3"/>
  <c r="R24" i="3"/>
  <c r="O13" i="3"/>
  <c r="M23" i="3"/>
  <c r="N23" i="3" s="1"/>
  <c r="O23" i="3" s="1"/>
  <c r="D24" i="3"/>
  <c r="H24" i="3" s="1"/>
  <c r="I24" i="3" s="1"/>
  <c r="B24" i="5" l="1"/>
  <c r="R23" i="5"/>
  <c r="D23" i="5"/>
  <c r="H23" i="5" s="1"/>
  <c r="I23" i="5" s="1"/>
  <c r="M23" i="5" s="1"/>
  <c r="N23" i="5" s="1"/>
  <c r="O13" i="5"/>
  <c r="N22" i="5"/>
  <c r="O22" i="5" s="1"/>
  <c r="S23" i="5"/>
  <c r="E24" i="5"/>
  <c r="F24" i="4"/>
  <c r="C24" i="4"/>
  <c r="D24" i="4"/>
  <c r="N23" i="4"/>
  <c r="O23" i="4" s="1"/>
  <c r="M24" i="3"/>
  <c r="O14" i="3" s="1"/>
  <c r="F24" i="5" l="1"/>
  <c r="O23" i="5"/>
  <c r="C24" i="5"/>
  <c r="E25" i="4"/>
  <c r="S24" i="4"/>
  <c r="G24" i="4"/>
  <c r="H24" i="4"/>
  <c r="I24" i="4" s="1"/>
  <c r="M24" i="4" s="1"/>
  <c r="B25" i="4"/>
  <c r="R24" i="4"/>
  <c r="N24" i="3"/>
  <c r="O24" i="3" s="1"/>
  <c r="O25" i="3" s="1"/>
  <c r="Q6" i="3" s="1"/>
  <c r="O11" i="3"/>
  <c r="Q7" i="3" s="1"/>
  <c r="N19" i="3"/>
  <c r="E25" i="5" l="1"/>
  <c r="S24" i="5"/>
  <c r="B25" i="5"/>
  <c r="R24" i="5"/>
  <c r="G24" i="5"/>
  <c r="D24" i="5"/>
  <c r="H24" i="5" s="1"/>
  <c r="I24" i="5" s="1"/>
  <c r="M24" i="5" s="1"/>
  <c r="N24" i="4"/>
  <c r="O24" i="4" s="1"/>
  <c r="O25" i="4" s="1"/>
  <c r="Q6" i="4" s="1"/>
  <c r="O11" i="4"/>
  <c r="Q7" i="4" s="1"/>
  <c r="O14" i="4"/>
  <c r="N24" i="5" l="1"/>
  <c r="O24" i="5" s="1"/>
  <c r="O25" i="5" s="1"/>
  <c r="Q6" i="5" s="1"/>
  <c r="O11" i="5"/>
  <c r="Q7" i="5" s="1"/>
  <c r="O14" i="5"/>
</calcChain>
</file>

<file path=xl/sharedStrings.xml><?xml version="1.0" encoding="utf-8"?>
<sst xmlns="http://schemas.openxmlformats.org/spreadsheetml/2006/main" count="265" uniqueCount="66">
  <si>
    <t>material</t>
  </si>
  <si>
    <t>K</t>
  </si>
  <si>
    <t>silver</t>
  </si>
  <si>
    <t>copper</t>
  </si>
  <si>
    <t>aluminum</t>
  </si>
  <si>
    <t>gold</t>
  </si>
  <si>
    <t>tungsten</t>
  </si>
  <si>
    <t>molybdenum</t>
  </si>
  <si>
    <t>percent</t>
  </si>
  <si>
    <t>actual</t>
  </si>
  <si>
    <t>silicon</t>
  </si>
  <si>
    <t>kovar</t>
  </si>
  <si>
    <t>lead/tin</t>
  </si>
  <si>
    <t>BeO</t>
  </si>
  <si>
    <t>beryllium</t>
  </si>
  <si>
    <t>2850ft</t>
  </si>
  <si>
    <t>mica</t>
  </si>
  <si>
    <t>silicon grease</t>
  </si>
  <si>
    <t>alumina</t>
  </si>
  <si>
    <t>*1</t>
  </si>
  <si>
    <t>*2</t>
  </si>
  <si>
    <t>beo</t>
  </si>
  <si>
    <t>die size</t>
  </si>
  <si>
    <t>length</t>
  </si>
  <si>
    <t>width</t>
  </si>
  <si>
    <t>internal header</t>
  </si>
  <si>
    <t>package bottom</t>
  </si>
  <si>
    <t>grease</t>
  </si>
  <si>
    <t>insulator</t>
  </si>
  <si>
    <t>heatsink</t>
  </si>
  <si>
    <t xml:space="preserve">thickness </t>
  </si>
  <si>
    <t>mils</t>
  </si>
  <si>
    <t>default</t>
  </si>
  <si>
    <t>calculated</t>
  </si>
  <si>
    <t>inputs</t>
  </si>
  <si>
    <t>spread angle</t>
  </si>
  <si>
    <t>degrees</t>
  </si>
  <si>
    <t>heatsink temp</t>
  </si>
  <si>
    <t>degrees C</t>
  </si>
  <si>
    <t>chip dissipation</t>
  </si>
  <si>
    <t>watts</t>
  </si>
  <si>
    <t>K factor</t>
  </si>
  <si>
    <t>model calculated sizes</t>
  </si>
  <si>
    <t>entry length</t>
  </si>
  <si>
    <t>exit length</t>
  </si>
  <si>
    <t>exit width</t>
  </si>
  <si>
    <t>tan theta</t>
  </si>
  <si>
    <t>average length</t>
  </si>
  <si>
    <t>average width</t>
  </si>
  <si>
    <t>thermal resistance</t>
  </si>
  <si>
    <t>area square mils</t>
  </si>
  <si>
    <t>area square inches</t>
  </si>
  <si>
    <t>thickness inches</t>
  </si>
  <si>
    <t>top temperature</t>
  </si>
  <si>
    <t>delta t</t>
  </si>
  <si>
    <t>overall</t>
  </si>
  <si>
    <t>case to hot sink</t>
  </si>
  <si>
    <t>case to cold sink</t>
  </si>
  <si>
    <t>junction to case</t>
  </si>
  <si>
    <t>internal solder</t>
  </si>
  <si>
    <t>junction temp</t>
  </si>
  <si>
    <t>theta jc</t>
  </si>
  <si>
    <t>%</t>
  </si>
  <si>
    <t>from databook based power equation</t>
  </si>
  <si>
    <t>percentage used</t>
  </si>
  <si>
    <t>table values for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</si>
</sst>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2" borderId="0" xfId="0" applyFill="1" applyBorder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3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6" borderId="0" xfId="0" applyFill="1"/>
    <xf numFmtId="0" fontId="0" fillId="0" borderId="8" xfId="0" applyBorder="1" applyAlignment="1">
      <alignment horizontal="right"/>
    </xf>
    <xf numFmtId="0" fontId="0" fillId="0" borderId="8" xfId="0" applyBorder="1"/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7" xfId="0" applyBorder="1"/>
    <xf numFmtId="2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2" fontId="0" fillId="3" borderId="10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4" xfId="0" applyFill="1" applyBorder="1"/>
    <xf numFmtId="0" fontId="0" fillId="0" borderId="6" xfId="0" applyFill="1" applyBorder="1"/>
    <xf numFmtId="2" fontId="1" fillId="3" borderId="10" xfId="0" applyNumberFormat="1" applyFont="1" applyFill="1" applyBorder="1" applyAlignment="1">
      <alignment horizontal="center"/>
    </xf>
    <xf numFmtId="2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zoomScale="85" zoomScaleNormal="85" workbookViewId="0">
      <selection activeCell="E39" sqref="E39"/>
    </sheetView>
  </sheetViews>
  <sheetFormatPr defaultRowHeight="14.4" x14ac:dyDescent="0.3"/>
  <cols>
    <col min="1" max="1" width="22.88671875" bestFit="1" customWidth="1"/>
    <col min="2" max="2" width="12.109375" bestFit="1" customWidth="1"/>
    <col min="3" max="3" width="10.88671875" customWidth="1"/>
    <col min="4" max="4" width="15" customWidth="1"/>
    <col min="5" max="5" width="10.88671875" customWidth="1"/>
    <col min="6" max="6" width="10.33203125" customWidth="1"/>
    <col min="7" max="7" width="14.33203125" customWidth="1"/>
    <col min="8" max="8" width="17" customWidth="1"/>
    <col min="9" max="9" width="19.109375" customWidth="1"/>
    <col min="10" max="10" width="16.5546875" customWidth="1"/>
    <col min="11" max="11" width="12.33203125" style="7" customWidth="1"/>
    <col min="12" max="12" width="16" customWidth="1"/>
    <col min="13" max="13" width="18.88671875" style="28" bestFit="1" customWidth="1"/>
    <col min="14" max="14" width="15.44140625" style="7" bestFit="1" customWidth="1"/>
    <col min="15" max="15" width="9.109375" style="28"/>
    <col min="16" max="16" width="19.33203125" bestFit="1" customWidth="1"/>
    <col min="21" max="21" width="12.33203125" bestFit="1" customWidth="1"/>
    <col min="22" max="22" width="17.33203125" bestFit="1" customWidth="1"/>
    <col min="23" max="23" width="8.33203125" customWidth="1"/>
    <col min="24" max="24" width="16.5546875" bestFit="1" customWidth="1"/>
  </cols>
  <sheetData>
    <row r="1" spans="14:24" customFormat="1" ht="15" x14ac:dyDescent="0.25">
      <c r="N1" s="7"/>
      <c r="O1" s="28"/>
      <c r="V1" s="7"/>
    </row>
    <row r="2" spans="14:24" customFormat="1" ht="15" x14ac:dyDescent="0.25">
      <c r="N2" s="7"/>
      <c r="O2" s="28"/>
      <c r="V2" s="7"/>
    </row>
    <row r="3" spans="14:24" customFormat="1" ht="15" x14ac:dyDescent="0.25">
      <c r="N3" s="7"/>
      <c r="O3" s="28"/>
      <c r="V3" s="7"/>
    </row>
    <row r="4" spans="14:24" customFormat="1" ht="15" x14ac:dyDescent="0.25">
      <c r="N4" s="7"/>
      <c r="O4" s="28"/>
      <c r="P4" t="s">
        <v>60</v>
      </c>
      <c r="Q4">
        <v>150</v>
      </c>
      <c r="R4" t="s">
        <v>38</v>
      </c>
      <c r="V4" s="7"/>
    </row>
    <row r="5" spans="14:24" customFormat="1" ht="15" x14ac:dyDescent="0.25">
      <c r="N5" s="7"/>
      <c r="O5" s="28"/>
      <c r="P5" t="s">
        <v>39</v>
      </c>
      <c r="Q5">
        <v>150</v>
      </c>
      <c r="R5" t="s">
        <v>40</v>
      </c>
      <c r="V5" s="3" t="s">
        <v>32</v>
      </c>
    </row>
    <row r="6" spans="14:24" customFormat="1" ht="15" x14ac:dyDescent="0.25">
      <c r="N6" s="7"/>
      <c r="O6" s="28"/>
      <c r="P6" t="s">
        <v>37</v>
      </c>
      <c r="Q6">
        <f>O25</f>
        <v>3.0276833204599685</v>
      </c>
      <c r="R6" t="s">
        <v>38</v>
      </c>
      <c r="V6" s="5" t="s">
        <v>33</v>
      </c>
    </row>
    <row r="7" spans="14:24" customFormat="1" ht="15" x14ac:dyDescent="0.25">
      <c r="N7" s="7"/>
      <c r="O7" s="28"/>
      <c r="P7" t="s">
        <v>61</v>
      </c>
      <c r="Q7">
        <f>O11</f>
        <v>1.5601311362665715</v>
      </c>
      <c r="V7" s="2" t="s">
        <v>34</v>
      </c>
    </row>
    <row r="8" spans="14:24" customFormat="1" ht="15" x14ac:dyDescent="0.25">
      <c r="N8" s="7"/>
      <c r="O8" s="28"/>
      <c r="V8" s="6" t="s">
        <v>65</v>
      </c>
    </row>
    <row r="9" spans="14:24" customFormat="1" ht="15" x14ac:dyDescent="0.25">
      <c r="N9" s="7"/>
      <c r="O9" s="28" t="s">
        <v>49</v>
      </c>
      <c r="V9" s="7"/>
    </row>
    <row r="10" spans="14:24" customFormat="1" ht="15" x14ac:dyDescent="0.25">
      <c r="N10" s="7"/>
      <c r="O10" s="28"/>
      <c r="V10" s="7"/>
    </row>
    <row r="11" spans="14:24" customFormat="1" ht="15" x14ac:dyDescent="0.25">
      <c r="N11" s="7" t="s">
        <v>55</v>
      </c>
      <c r="O11" s="28">
        <f>SUM(M19:M24)</f>
        <v>1.5601311362665715</v>
      </c>
      <c r="P11" t="s">
        <v>63</v>
      </c>
      <c r="V11" s="7"/>
    </row>
    <row r="12" spans="14:24" customFormat="1" ht="15" x14ac:dyDescent="0.25">
      <c r="N12" s="7" t="s">
        <v>58</v>
      </c>
      <c r="O12" s="28">
        <f>M19+M20+M21</f>
        <v>1.1842554958908482</v>
      </c>
      <c r="P12">
        <f>2666.4*(H19^-0.756)</f>
        <v>1.0316447851064343</v>
      </c>
      <c r="V12" s="7"/>
    </row>
    <row r="13" spans="14:24" customFormat="1" ht="15" x14ac:dyDescent="0.25">
      <c r="N13" s="7" t="s">
        <v>56</v>
      </c>
      <c r="O13" s="28">
        <f>M22</f>
        <v>0.36602662843721878</v>
      </c>
      <c r="V13" s="7"/>
    </row>
    <row r="14" spans="14:24" customFormat="1" ht="15" x14ac:dyDescent="0.25">
      <c r="N14" s="7" t="s">
        <v>57</v>
      </c>
      <c r="O14" s="28">
        <f>SUM(M22:M24)</f>
        <v>0.37587564037572324</v>
      </c>
      <c r="V14" s="7"/>
    </row>
    <row r="15" spans="14:24" customFormat="1" ht="15" x14ac:dyDescent="0.25">
      <c r="N15" s="7"/>
      <c r="O15" s="28"/>
      <c r="V15" s="7"/>
    </row>
    <row r="16" spans="14:24" customFormat="1" ht="15" x14ac:dyDescent="0.25">
      <c r="N16" s="7"/>
      <c r="O16" s="28"/>
      <c r="V16" s="7"/>
      <c r="X16" t="s">
        <v>64</v>
      </c>
    </row>
    <row r="17" spans="1:25" ht="15" x14ac:dyDescent="0.25">
      <c r="A17" t="s">
        <v>42</v>
      </c>
      <c r="B17" t="s">
        <v>43</v>
      </c>
      <c r="C17" t="s">
        <v>44</v>
      </c>
      <c r="D17" t="s">
        <v>47</v>
      </c>
      <c r="E17" t="s">
        <v>44</v>
      </c>
      <c r="F17" t="s">
        <v>45</v>
      </c>
      <c r="G17" t="s">
        <v>48</v>
      </c>
      <c r="H17" t="s">
        <v>50</v>
      </c>
      <c r="I17" t="s">
        <v>51</v>
      </c>
      <c r="J17" t="s">
        <v>52</v>
      </c>
      <c r="K17" s="7" t="s">
        <v>1</v>
      </c>
      <c r="M17" s="28" t="s">
        <v>49</v>
      </c>
      <c r="N17" s="7" t="s">
        <v>54</v>
      </c>
      <c r="O17" s="28" t="s">
        <v>53</v>
      </c>
      <c r="R17" t="s">
        <v>23</v>
      </c>
      <c r="S17" t="s">
        <v>24</v>
      </c>
      <c r="T17" t="s">
        <v>30</v>
      </c>
      <c r="U17" t="s">
        <v>41</v>
      </c>
      <c r="V17" s="7" t="s">
        <v>35</v>
      </c>
      <c r="W17" t="s">
        <v>46</v>
      </c>
    </row>
    <row r="18" spans="1:25" ht="15.75" thickBot="1" x14ac:dyDescent="0.3">
      <c r="R18" t="s">
        <v>31</v>
      </c>
      <c r="S18" t="s">
        <v>31</v>
      </c>
      <c r="T18" t="s">
        <v>31</v>
      </c>
      <c r="V18" s="7" t="s">
        <v>36</v>
      </c>
    </row>
    <row r="19" spans="1:25" ht="15.75" thickBot="1" x14ac:dyDescent="0.3">
      <c r="A19" t="s">
        <v>22</v>
      </c>
      <c r="B19">
        <f>R19</f>
        <v>192</v>
      </c>
      <c r="C19">
        <f>B19</f>
        <v>192</v>
      </c>
      <c r="D19">
        <f t="shared" ref="D19:D24" si="0">(B19+C19)/2</f>
        <v>192</v>
      </c>
      <c r="E19">
        <f>S19</f>
        <v>170</v>
      </c>
      <c r="F19">
        <f>E19</f>
        <v>170</v>
      </c>
      <c r="G19">
        <f t="shared" ref="G19:G24" si="1">(E19+F19)/2</f>
        <v>170</v>
      </c>
      <c r="H19">
        <f>D19*G19</f>
        <v>32640</v>
      </c>
      <c r="I19">
        <f>H19/1000000</f>
        <v>3.2640000000000002E-2</v>
      </c>
      <c r="J19">
        <f>T19/1000</f>
        <v>1.6E-2</v>
      </c>
      <c r="K19" s="29">
        <f>718/(O19+173)</f>
        <v>2.2229102167182662</v>
      </c>
      <c r="L19" t="str">
        <f>P19</f>
        <v>die size</v>
      </c>
      <c r="M19" s="28">
        <f>(J19*100)/(I19*K19*X19)</f>
        <v>0.5803156917363046</v>
      </c>
      <c r="N19" s="7">
        <f t="shared" ref="N19:N23" si="2">$Q$5*M19</f>
        <v>87.047353760445688</v>
      </c>
      <c r="O19" s="28">
        <f>$Q$4</f>
        <v>150</v>
      </c>
      <c r="P19" t="s">
        <v>22</v>
      </c>
      <c r="R19" s="2">
        <v>192</v>
      </c>
      <c r="S19" s="2">
        <v>170</v>
      </c>
      <c r="T19" s="4">
        <v>16</v>
      </c>
      <c r="U19" s="30">
        <f>K19</f>
        <v>2.2229102167182662</v>
      </c>
      <c r="V19" s="12">
        <v>0</v>
      </c>
      <c r="W19">
        <f t="shared" ref="W19:W24" si="3">TAN(RADIANS(V19))</f>
        <v>0</v>
      </c>
      <c r="X19" s="2">
        <v>38</v>
      </c>
      <c r="Y19" t="s">
        <v>62</v>
      </c>
    </row>
    <row r="20" spans="1:25" ht="15" x14ac:dyDescent="0.25">
      <c r="A20" t="s">
        <v>25</v>
      </c>
      <c r="B20">
        <f t="shared" ref="B20:B25" si="4">C19</f>
        <v>192</v>
      </c>
      <c r="C20">
        <f>B20+(2*T20*W20)</f>
        <v>196</v>
      </c>
      <c r="D20">
        <f t="shared" si="0"/>
        <v>194</v>
      </c>
      <c r="E20">
        <f t="shared" ref="E20:E25" si="5">F19</f>
        <v>170</v>
      </c>
      <c r="F20">
        <f>E20+(2*T20*W20)</f>
        <v>174</v>
      </c>
      <c r="G20">
        <f t="shared" si="1"/>
        <v>172</v>
      </c>
      <c r="H20">
        <f t="shared" ref="H20:H24" si="6">D20*G20</f>
        <v>33368</v>
      </c>
      <c r="I20">
        <f t="shared" ref="I20:I24" si="7">H20/1000000</f>
        <v>3.3368000000000002E-2</v>
      </c>
      <c r="J20">
        <f t="shared" ref="J20:J24" si="8">T20/1000</f>
        <v>2E-3</v>
      </c>
      <c r="K20" s="7">
        <f>U20</f>
        <v>1.25</v>
      </c>
      <c r="L20" t="str">
        <f t="shared" ref="L20:L25" si="9">P20</f>
        <v>internal solder</v>
      </c>
      <c r="M20" s="28">
        <f>(J20*100)/(I20*K20*X20)</f>
        <v>4.7950131862862622E-2</v>
      </c>
      <c r="N20" s="7">
        <f t="shared" si="2"/>
        <v>7.1925197794293929</v>
      </c>
      <c r="O20" s="28">
        <f>O19-N20</f>
        <v>142.8074802205706</v>
      </c>
      <c r="P20" t="s">
        <v>59</v>
      </c>
      <c r="R20" s="5">
        <f>C20</f>
        <v>196</v>
      </c>
      <c r="S20" s="5">
        <f>F20</f>
        <v>174</v>
      </c>
      <c r="T20" s="2">
        <v>2</v>
      </c>
      <c r="U20" s="6">
        <f>U37</f>
        <v>1.25</v>
      </c>
      <c r="V20" s="13">
        <v>45</v>
      </c>
      <c r="W20">
        <f t="shared" si="3"/>
        <v>0.99999999999999989</v>
      </c>
      <c r="X20" s="2">
        <v>100</v>
      </c>
      <c r="Y20" t="s">
        <v>62</v>
      </c>
    </row>
    <row r="21" spans="1:25" ht="15" x14ac:dyDescent="0.25">
      <c r="A21" t="s">
        <v>26</v>
      </c>
      <c r="B21">
        <f t="shared" si="4"/>
        <v>196</v>
      </c>
      <c r="C21">
        <f>B21+(2*T21*W21)</f>
        <v>296</v>
      </c>
      <c r="D21">
        <f t="shared" si="0"/>
        <v>246</v>
      </c>
      <c r="E21">
        <f t="shared" si="5"/>
        <v>174</v>
      </c>
      <c r="F21">
        <f>E21+(2*T21*W21)</f>
        <v>274</v>
      </c>
      <c r="G21">
        <f t="shared" si="1"/>
        <v>224</v>
      </c>
      <c r="H21">
        <f>D21*G21</f>
        <v>55104</v>
      </c>
      <c r="I21">
        <f>H21/1000000</f>
        <v>5.5104E-2</v>
      </c>
      <c r="J21">
        <f t="shared" si="8"/>
        <v>0.05</v>
      </c>
      <c r="K21" s="7">
        <f>U21</f>
        <v>10.199999999999999</v>
      </c>
      <c r="L21" t="str">
        <f t="shared" si="9"/>
        <v>package bottom</v>
      </c>
      <c r="M21" s="28">
        <f>(J21*100)/(I21*K21*X21)</f>
        <v>0.55598967229168095</v>
      </c>
      <c r="N21" s="7">
        <f t="shared" si="2"/>
        <v>83.398450843752144</v>
      </c>
      <c r="O21" s="28">
        <f t="shared" ref="O21:O25" si="10">O20-N21</f>
        <v>59.409029376818452</v>
      </c>
      <c r="P21" t="s">
        <v>26</v>
      </c>
      <c r="R21" s="5">
        <f>C21</f>
        <v>296</v>
      </c>
      <c r="S21" s="5">
        <f>F21</f>
        <v>274</v>
      </c>
      <c r="T21" s="2">
        <v>50</v>
      </c>
      <c r="U21" s="6">
        <f>U29</f>
        <v>10.199999999999999</v>
      </c>
      <c r="V21" s="13">
        <v>45</v>
      </c>
      <c r="W21">
        <f t="shared" si="3"/>
        <v>0.99999999999999989</v>
      </c>
      <c r="X21" s="2">
        <v>16</v>
      </c>
      <c r="Y21" t="s">
        <v>62</v>
      </c>
    </row>
    <row r="22" spans="1:25" ht="15" x14ac:dyDescent="0.25">
      <c r="A22" t="s">
        <v>27</v>
      </c>
      <c r="B22">
        <f t="shared" si="4"/>
        <v>296</v>
      </c>
      <c r="C22">
        <f>B22+(2*T22*W22)</f>
        <v>299</v>
      </c>
      <c r="D22">
        <f t="shared" si="0"/>
        <v>297.5</v>
      </c>
      <c r="E22">
        <f t="shared" si="5"/>
        <v>274</v>
      </c>
      <c r="F22">
        <f>E22+(2*T22*W22)</f>
        <v>277</v>
      </c>
      <c r="G22">
        <f t="shared" si="1"/>
        <v>275.5</v>
      </c>
      <c r="H22">
        <f t="shared" si="6"/>
        <v>81961.25</v>
      </c>
      <c r="I22">
        <f t="shared" si="7"/>
        <v>8.1961249999999999E-2</v>
      </c>
      <c r="J22">
        <f t="shared" si="8"/>
        <v>1.5E-3</v>
      </c>
      <c r="K22" s="7">
        <f>U22</f>
        <v>0.05</v>
      </c>
      <c r="L22" t="str">
        <f t="shared" si="9"/>
        <v>grease</v>
      </c>
      <c r="M22" s="28">
        <f t="shared" ref="M22:M24" si="11">(J22*100)/(I22*K22*X22)</f>
        <v>0.36602662843721878</v>
      </c>
      <c r="N22" s="7">
        <f t="shared" si="2"/>
        <v>54.903994265582817</v>
      </c>
      <c r="O22" s="28">
        <f t="shared" si="10"/>
        <v>4.5050351112356353</v>
      </c>
      <c r="P22" t="s">
        <v>27</v>
      </c>
      <c r="R22" s="5">
        <f>C22</f>
        <v>299</v>
      </c>
      <c r="S22" s="5">
        <f>F22</f>
        <v>277</v>
      </c>
      <c r="T22" s="2">
        <v>1.5</v>
      </c>
      <c r="U22" s="6">
        <f>U42</f>
        <v>0.05</v>
      </c>
      <c r="V22" s="13">
        <v>45</v>
      </c>
      <c r="W22">
        <f t="shared" si="3"/>
        <v>0.99999999999999989</v>
      </c>
      <c r="X22" s="2">
        <v>100</v>
      </c>
      <c r="Y22" t="s">
        <v>62</v>
      </c>
    </row>
    <row r="23" spans="1:25" ht="15" x14ac:dyDescent="0.25">
      <c r="A23" t="s">
        <v>28</v>
      </c>
      <c r="B23">
        <f t="shared" si="4"/>
        <v>299</v>
      </c>
      <c r="C23">
        <f>B23+(2*T23*W23)</f>
        <v>307</v>
      </c>
      <c r="D23">
        <f t="shared" si="0"/>
        <v>303</v>
      </c>
      <c r="E23">
        <f t="shared" si="5"/>
        <v>277</v>
      </c>
      <c r="F23">
        <f>E23+(2*T23*W23)</f>
        <v>285</v>
      </c>
      <c r="G23">
        <f t="shared" si="1"/>
        <v>281</v>
      </c>
      <c r="H23">
        <f t="shared" si="6"/>
        <v>85143</v>
      </c>
      <c r="I23">
        <f t="shared" si="7"/>
        <v>8.5142999999999996E-2</v>
      </c>
      <c r="J23">
        <f t="shared" si="8"/>
        <v>4.0000000000000001E-3</v>
      </c>
      <c r="K23" s="7">
        <f>U23</f>
        <v>4.7699999999999996</v>
      </c>
      <c r="L23" t="str">
        <f t="shared" si="9"/>
        <v>insulator</v>
      </c>
      <c r="M23" s="28">
        <f t="shared" si="11"/>
        <v>9.8490119385044456E-3</v>
      </c>
      <c r="N23" s="7">
        <f t="shared" si="2"/>
        <v>1.4773517907756668</v>
      </c>
      <c r="O23" s="28">
        <f t="shared" si="10"/>
        <v>3.0276833204599685</v>
      </c>
      <c r="P23" t="s">
        <v>28</v>
      </c>
      <c r="R23" s="5">
        <f>C23</f>
        <v>307</v>
      </c>
      <c r="S23" s="5">
        <f>F23</f>
        <v>285</v>
      </c>
      <c r="T23" s="11">
        <v>4</v>
      </c>
      <c r="U23" s="6">
        <f>U33</f>
        <v>4.7699999999999996</v>
      </c>
      <c r="V23" s="13">
        <v>45</v>
      </c>
      <c r="W23">
        <f t="shared" si="3"/>
        <v>0.99999999999999989</v>
      </c>
      <c r="X23" s="2">
        <v>100</v>
      </c>
      <c r="Y23" t="s">
        <v>62</v>
      </c>
    </row>
    <row r="24" spans="1:25" ht="15" x14ac:dyDescent="0.25">
      <c r="A24" t="s">
        <v>27</v>
      </c>
      <c r="B24">
        <f t="shared" si="4"/>
        <v>307</v>
      </c>
      <c r="C24">
        <f>B24+(2*T24*W24)</f>
        <v>307</v>
      </c>
      <c r="D24">
        <f t="shared" si="0"/>
        <v>307</v>
      </c>
      <c r="E24">
        <f t="shared" si="5"/>
        <v>285</v>
      </c>
      <c r="F24">
        <f>E24+(2*T24*W24)</f>
        <v>285</v>
      </c>
      <c r="G24">
        <f t="shared" si="1"/>
        <v>285</v>
      </c>
      <c r="H24">
        <f t="shared" si="6"/>
        <v>87495</v>
      </c>
      <c r="I24">
        <f t="shared" si="7"/>
        <v>8.7495000000000003E-2</v>
      </c>
      <c r="J24">
        <f t="shared" si="8"/>
        <v>0</v>
      </c>
      <c r="K24" s="7">
        <f>U24</f>
        <v>0.06</v>
      </c>
      <c r="L24" t="str">
        <f t="shared" si="9"/>
        <v>grease</v>
      </c>
      <c r="M24" s="28">
        <f t="shared" si="11"/>
        <v>0</v>
      </c>
      <c r="N24" s="7">
        <f>$Q$5*M24</f>
        <v>0</v>
      </c>
      <c r="O24" s="28">
        <f t="shared" si="10"/>
        <v>3.0276833204599685</v>
      </c>
      <c r="P24" t="s">
        <v>27</v>
      </c>
      <c r="R24" s="5">
        <f>C24</f>
        <v>307</v>
      </c>
      <c r="S24" s="5">
        <f>F24</f>
        <v>285</v>
      </c>
      <c r="T24" s="11">
        <v>0</v>
      </c>
      <c r="U24" s="6">
        <f>U40</f>
        <v>0.06</v>
      </c>
      <c r="V24" s="13">
        <v>45</v>
      </c>
      <c r="W24">
        <f t="shared" si="3"/>
        <v>0.99999999999999989</v>
      </c>
      <c r="X24" s="2">
        <v>100</v>
      </c>
      <c r="Y24" t="s">
        <v>62</v>
      </c>
    </row>
    <row r="25" spans="1:25" ht="15" x14ac:dyDescent="0.25">
      <c r="A25" t="s">
        <v>29</v>
      </c>
      <c r="B25">
        <f t="shared" si="4"/>
        <v>307</v>
      </c>
      <c r="C25" s="17"/>
      <c r="D25" s="17"/>
      <c r="E25">
        <f t="shared" si="5"/>
        <v>285</v>
      </c>
      <c r="F25" s="17"/>
      <c r="G25" s="17"/>
      <c r="H25" s="17"/>
      <c r="L25" t="str">
        <f t="shared" si="9"/>
        <v>heatsink</v>
      </c>
      <c r="O25" s="28">
        <f t="shared" si="10"/>
        <v>3.0276833204599685</v>
      </c>
      <c r="P25" t="s">
        <v>29</v>
      </c>
      <c r="V25" s="7"/>
    </row>
    <row r="26" spans="1:25" ht="15" x14ac:dyDescent="0.25">
      <c r="V26" s="7"/>
    </row>
    <row r="27" spans="1:25" ht="15.75" thickBot="1" x14ac:dyDescent="0.3">
      <c r="V27" s="7"/>
    </row>
    <row r="28" spans="1:25" ht="15" x14ac:dyDescent="0.25">
      <c r="T28" s="8" t="s">
        <v>2</v>
      </c>
      <c r="U28" s="14">
        <v>11</v>
      </c>
      <c r="V28" s="7"/>
    </row>
    <row r="29" spans="1:25" ht="15" x14ac:dyDescent="0.25">
      <c r="T29" s="9" t="s">
        <v>3</v>
      </c>
      <c r="U29" s="15">
        <v>10.199999999999999</v>
      </c>
      <c r="V29" s="7"/>
    </row>
    <row r="30" spans="1:25" ht="15" x14ac:dyDescent="0.25">
      <c r="T30" s="9" t="s">
        <v>5</v>
      </c>
      <c r="U30" s="15">
        <v>7.9</v>
      </c>
      <c r="V30" s="7"/>
    </row>
    <row r="31" spans="1:25" ht="15" x14ac:dyDescent="0.25">
      <c r="T31" s="9" t="s">
        <v>13</v>
      </c>
      <c r="U31" s="15">
        <v>6.3</v>
      </c>
      <c r="V31" s="7"/>
    </row>
    <row r="32" spans="1:25" ht="15" x14ac:dyDescent="0.25">
      <c r="T32" s="9" t="s">
        <v>4</v>
      </c>
      <c r="U32" s="15">
        <v>5.4</v>
      </c>
      <c r="V32" s="7"/>
    </row>
    <row r="33" spans="20:22" customFormat="1" ht="15" x14ac:dyDescent="0.25">
      <c r="T33" s="9" t="s">
        <v>14</v>
      </c>
      <c r="U33" s="15">
        <v>4.7699999999999996</v>
      </c>
      <c r="V33" s="7"/>
    </row>
    <row r="34" spans="20:22" customFormat="1" ht="15" x14ac:dyDescent="0.25">
      <c r="T34" s="9" t="s">
        <v>6</v>
      </c>
      <c r="U34" s="15">
        <v>4.3</v>
      </c>
      <c r="V34" s="7"/>
    </row>
    <row r="35" spans="20:22" customFormat="1" x14ac:dyDescent="0.3">
      <c r="T35" s="9" t="s">
        <v>7</v>
      </c>
      <c r="U35" s="15">
        <v>3.5</v>
      </c>
      <c r="V35" s="7"/>
    </row>
    <row r="36" spans="20:22" customFormat="1" x14ac:dyDescent="0.3">
      <c r="T36" s="9" t="s">
        <v>10</v>
      </c>
      <c r="U36" s="15">
        <v>3.3</v>
      </c>
      <c r="V36" s="7"/>
    </row>
    <row r="37" spans="20:22" customFormat="1" x14ac:dyDescent="0.3">
      <c r="T37" s="9" t="s">
        <v>12</v>
      </c>
      <c r="U37" s="15">
        <v>1.25</v>
      </c>
      <c r="V37" s="7"/>
    </row>
    <row r="38" spans="20:22" customFormat="1" x14ac:dyDescent="0.3">
      <c r="T38" s="9" t="s">
        <v>18</v>
      </c>
      <c r="U38" s="15">
        <v>0.89</v>
      </c>
      <c r="V38" s="7"/>
    </row>
    <row r="39" spans="20:22" customFormat="1" x14ac:dyDescent="0.3">
      <c r="T39" s="9" t="s">
        <v>11</v>
      </c>
      <c r="U39" s="15">
        <v>0.3</v>
      </c>
      <c r="V39" s="7"/>
    </row>
    <row r="40" spans="20:22" customFormat="1" x14ac:dyDescent="0.3">
      <c r="T40" s="9" t="s">
        <v>15</v>
      </c>
      <c r="U40" s="15">
        <v>0.06</v>
      </c>
      <c r="V40" s="7"/>
    </row>
    <row r="41" spans="20:22" customFormat="1" x14ac:dyDescent="0.3">
      <c r="T41" s="9" t="s">
        <v>16</v>
      </c>
      <c r="U41" s="15">
        <v>1.4999999999999999E-2</v>
      </c>
      <c r="V41" s="7"/>
    </row>
    <row r="42" spans="20:22" customFormat="1" ht="15" thickBot="1" x14ac:dyDescent="0.35">
      <c r="T42" s="10" t="s">
        <v>17</v>
      </c>
      <c r="U42" s="16">
        <v>0.05</v>
      </c>
      <c r="V42" s="7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M28" sqref="M28"/>
    </sheetView>
  </sheetViews>
  <sheetFormatPr defaultRowHeight="14.4" x14ac:dyDescent="0.3"/>
  <cols>
    <col min="1" max="1" width="15.88671875" customWidth="1"/>
    <col min="2" max="2" width="6.88671875" style="1" customWidth="1"/>
    <col min="3" max="3" width="3.5546875" customWidth="1"/>
    <col min="15" max="15" width="12.88671875" bestFit="1" customWidth="1"/>
    <col min="18" max="18" width="13.109375" bestFit="1" customWidth="1"/>
  </cols>
  <sheetData>
    <row r="1" spans="1:19" ht="15" x14ac:dyDescent="0.25">
      <c r="A1" t="s">
        <v>0</v>
      </c>
      <c r="B1" s="1" t="s">
        <v>1</v>
      </c>
    </row>
    <row r="2" spans="1:19" ht="15" x14ac:dyDescent="0.25">
      <c r="E2" t="s">
        <v>8</v>
      </c>
      <c r="F2" t="s">
        <v>9</v>
      </c>
    </row>
    <row r="3" spans="1:19" ht="15" x14ac:dyDescent="0.25">
      <c r="A3" t="s">
        <v>2</v>
      </c>
      <c r="B3" s="1">
        <v>11</v>
      </c>
      <c r="E3">
        <v>108</v>
      </c>
      <c r="F3">
        <f t="shared" ref="F3:F14" si="0">(E3/100)*$B$4</f>
        <v>11.016</v>
      </c>
      <c r="I3">
        <v>2700</v>
      </c>
      <c r="K3">
        <f t="shared" ref="K3:K17" si="1">(I3/$I$4)*$F$4</f>
        <v>11.016</v>
      </c>
    </row>
    <row r="4" spans="1:19" ht="15" x14ac:dyDescent="0.25">
      <c r="A4" t="s">
        <v>3</v>
      </c>
      <c r="B4" s="1">
        <v>10.199999999999999</v>
      </c>
      <c r="E4">
        <v>100</v>
      </c>
      <c r="F4">
        <f t="shared" si="0"/>
        <v>10.199999999999999</v>
      </c>
      <c r="I4">
        <v>2500</v>
      </c>
      <c r="K4">
        <f t="shared" si="1"/>
        <v>10.199999999999999</v>
      </c>
    </row>
    <row r="5" spans="1:19" ht="15" x14ac:dyDescent="0.25">
      <c r="A5" t="s">
        <v>5</v>
      </c>
      <c r="B5" s="1">
        <v>7.9</v>
      </c>
      <c r="E5">
        <v>78</v>
      </c>
      <c r="F5">
        <f t="shared" si="0"/>
        <v>7.9559999999999995</v>
      </c>
      <c r="I5">
        <v>1950</v>
      </c>
      <c r="K5">
        <f t="shared" si="1"/>
        <v>7.9559999999999995</v>
      </c>
    </row>
    <row r="6" spans="1:19" ht="15" x14ac:dyDescent="0.25">
      <c r="A6" t="s">
        <v>13</v>
      </c>
      <c r="B6" s="1">
        <v>6.3</v>
      </c>
      <c r="C6" t="s">
        <v>19</v>
      </c>
      <c r="F6">
        <f t="shared" si="0"/>
        <v>0</v>
      </c>
      <c r="K6">
        <f t="shared" si="1"/>
        <v>0</v>
      </c>
    </row>
    <row r="7" spans="1:19" ht="15" x14ac:dyDescent="0.25">
      <c r="A7" t="s">
        <v>4</v>
      </c>
      <c r="B7" s="1">
        <v>5.4</v>
      </c>
      <c r="E7">
        <v>53</v>
      </c>
      <c r="F7">
        <f t="shared" si="0"/>
        <v>5.4059999999999997</v>
      </c>
      <c r="I7">
        <v>1700</v>
      </c>
      <c r="K7">
        <f t="shared" si="1"/>
        <v>6.9359999999999999</v>
      </c>
    </row>
    <row r="8" spans="1:19" ht="15" x14ac:dyDescent="0.25">
      <c r="A8" t="s">
        <v>14</v>
      </c>
      <c r="B8" s="1">
        <v>4.7699999999999996</v>
      </c>
      <c r="F8">
        <f t="shared" si="0"/>
        <v>0</v>
      </c>
      <c r="K8">
        <f t="shared" si="1"/>
        <v>0</v>
      </c>
    </row>
    <row r="9" spans="1:19" ht="15" x14ac:dyDescent="0.25">
      <c r="A9" t="s">
        <v>6</v>
      </c>
      <c r="B9" s="1">
        <v>4.3</v>
      </c>
      <c r="E9">
        <v>42</v>
      </c>
      <c r="F9">
        <f t="shared" si="0"/>
        <v>4.2839999999999998</v>
      </c>
      <c r="K9">
        <f t="shared" si="1"/>
        <v>0</v>
      </c>
    </row>
    <row r="10" spans="1:19" ht="15" x14ac:dyDescent="0.25">
      <c r="A10" t="s">
        <v>7</v>
      </c>
      <c r="B10" s="1">
        <v>3.5</v>
      </c>
      <c r="E10">
        <v>34.5</v>
      </c>
      <c r="F10">
        <f t="shared" si="0"/>
        <v>3.5189999999999997</v>
      </c>
      <c r="I10">
        <v>940</v>
      </c>
      <c r="K10">
        <f t="shared" si="1"/>
        <v>3.8351999999999999</v>
      </c>
    </row>
    <row r="11" spans="1:19" ht="15.75" thickBot="1" x14ac:dyDescent="0.3">
      <c r="A11" t="s">
        <v>10</v>
      </c>
      <c r="B11" s="1">
        <v>3.3</v>
      </c>
      <c r="C11" t="s">
        <v>20</v>
      </c>
      <c r="D11" s="1"/>
      <c r="F11">
        <f t="shared" si="0"/>
        <v>0</v>
      </c>
      <c r="I11">
        <v>880</v>
      </c>
      <c r="K11">
        <f t="shared" si="1"/>
        <v>3.5903999999999994</v>
      </c>
    </row>
    <row r="12" spans="1:19" ht="15" x14ac:dyDescent="0.25">
      <c r="A12" t="s">
        <v>12</v>
      </c>
      <c r="B12" s="1">
        <v>1.25</v>
      </c>
      <c r="F12">
        <f t="shared" si="0"/>
        <v>0</v>
      </c>
      <c r="K12">
        <f t="shared" si="1"/>
        <v>0</v>
      </c>
      <c r="O12" s="8" t="s">
        <v>0</v>
      </c>
      <c r="P12" s="18" t="s">
        <v>1</v>
      </c>
      <c r="Q12" s="19"/>
      <c r="R12" s="19" t="s">
        <v>0</v>
      </c>
      <c r="S12" s="20" t="s">
        <v>1</v>
      </c>
    </row>
    <row r="13" spans="1:19" ht="15" x14ac:dyDescent="0.25">
      <c r="A13" t="s">
        <v>18</v>
      </c>
      <c r="B13" s="1">
        <v>0.89</v>
      </c>
      <c r="F13">
        <f t="shared" si="0"/>
        <v>0</v>
      </c>
      <c r="I13">
        <v>237</v>
      </c>
      <c r="K13">
        <f t="shared" si="1"/>
        <v>0.96695999999999993</v>
      </c>
      <c r="O13" s="9"/>
      <c r="P13" s="21"/>
      <c r="Q13" s="22"/>
      <c r="R13" s="22"/>
      <c r="S13" s="23"/>
    </row>
    <row r="14" spans="1:19" ht="15" x14ac:dyDescent="0.25">
      <c r="A14" t="s">
        <v>11</v>
      </c>
      <c r="B14" s="1">
        <v>0.3</v>
      </c>
      <c r="E14">
        <v>3</v>
      </c>
      <c r="F14">
        <f t="shared" si="0"/>
        <v>0.30599999999999999</v>
      </c>
      <c r="I14">
        <v>119</v>
      </c>
      <c r="K14">
        <f t="shared" si="1"/>
        <v>0.48552000000000001</v>
      </c>
      <c r="O14" s="9" t="s">
        <v>2</v>
      </c>
      <c r="P14" s="21">
        <v>11</v>
      </c>
      <c r="Q14" s="22"/>
      <c r="R14" s="22" t="s">
        <v>10</v>
      </c>
      <c r="S14" s="24">
        <v>3.3</v>
      </c>
    </row>
    <row r="15" spans="1:19" ht="15" x14ac:dyDescent="0.25">
      <c r="A15" t="s">
        <v>15</v>
      </c>
      <c r="B15" s="1">
        <v>0.06</v>
      </c>
      <c r="I15">
        <v>15</v>
      </c>
      <c r="K15">
        <f t="shared" si="1"/>
        <v>6.1199999999999997E-2</v>
      </c>
      <c r="O15" s="9" t="s">
        <v>3</v>
      </c>
      <c r="P15" s="21">
        <v>10.199999999999999</v>
      </c>
      <c r="Q15" s="22"/>
      <c r="R15" s="22" t="s">
        <v>12</v>
      </c>
      <c r="S15" s="24">
        <v>1.25</v>
      </c>
    </row>
    <row r="16" spans="1:19" ht="15" x14ac:dyDescent="0.25">
      <c r="A16" t="s">
        <v>16</v>
      </c>
      <c r="B16" s="1">
        <v>1.4999999999999999E-2</v>
      </c>
      <c r="F16">
        <f>(E16/100)*$B$4</f>
        <v>0</v>
      </c>
      <c r="I16">
        <v>3.7</v>
      </c>
      <c r="K16">
        <f t="shared" si="1"/>
        <v>1.5095999999999998E-2</v>
      </c>
      <c r="O16" s="9" t="s">
        <v>5</v>
      </c>
      <c r="P16" s="21">
        <v>7.9</v>
      </c>
      <c r="Q16" s="22"/>
      <c r="R16" s="22" t="s">
        <v>18</v>
      </c>
      <c r="S16" s="24">
        <v>0.89</v>
      </c>
    </row>
    <row r="17" spans="1:19" ht="15" x14ac:dyDescent="0.25">
      <c r="A17" t="s">
        <v>17</v>
      </c>
      <c r="B17" s="1">
        <v>0.05</v>
      </c>
      <c r="F17">
        <f>(E17/100)*$B$4</f>
        <v>0</v>
      </c>
      <c r="I17">
        <v>1.3</v>
      </c>
      <c r="K17">
        <f t="shared" si="1"/>
        <v>5.3040000000000006E-3</v>
      </c>
      <c r="O17" s="9" t="s">
        <v>13</v>
      </c>
      <c r="P17" s="21">
        <v>6.3</v>
      </c>
      <c r="Q17" s="22"/>
      <c r="R17" s="22" t="s">
        <v>11</v>
      </c>
      <c r="S17" s="24">
        <v>0.3</v>
      </c>
    </row>
    <row r="18" spans="1:19" ht="15" x14ac:dyDescent="0.25">
      <c r="O18" s="9" t="s">
        <v>4</v>
      </c>
      <c r="P18" s="21">
        <v>5.4</v>
      </c>
      <c r="Q18" s="22"/>
      <c r="R18" s="22" t="s">
        <v>15</v>
      </c>
      <c r="S18" s="24">
        <v>0.06</v>
      </c>
    </row>
    <row r="19" spans="1:19" ht="15" x14ac:dyDescent="0.25">
      <c r="O19" s="9" t="s">
        <v>14</v>
      </c>
      <c r="P19" s="21">
        <v>4.7699999999999996</v>
      </c>
      <c r="Q19" s="22"/>
      <c r="R19" s="22" t="s">
        <v>16</v>
      </c>
      <c r="S19" s="24">
        <v>1.4999999999999999E-2</v>
      </c>
    </row>
    <row r="20" spans="1:19" ht="15" x14ac:dyDescent="0.25">
      <c r="O20" s="9" t="s">
        <v>6</v>
      </c>
      <c r="P20" s="21">
        <v>4.3</v>
      </c>
      <c r="Q20" s="22"/>
      <c r="R20" s="22" t="s">
        <v>17</v>
      </c>
      <c r="S20" s="24">
        <v>0.05</v>
      </c>
    </row>
    <row r="21" spans="1:19" ht="15.75" thickBot="1" x14ac:dyDescent="0.3">
      <c r="O21" s="10" t="s">
        <v>7</v>
      </c>
      <c r="P21" s="25">
        <v>3.5</v>
      </c>
      <c r="Q21" s="26"/>
      <c r="R21" s="26"/>
      <c r="S21" s="27"/>
    </row>
    <row r="26" spans="1:19" ht="15" x14ac:dyDescent="0.25">
      <c r="G26" t="s">
        <v>21</v>
      </c>
    </row>
    <row r="27" spans="1:19" ht="15" x14ac:dyDescent="0.25">
      <c r="E27" s="2">
        <v>25</v>
      </c>
      <c r="G27">
        <f>(340-E27)/61.7</f>
        <v>5.1053484602917338</v>
      </c>
    </row>
    <row r="30" spans="1:19" x14ac:dyDescent="0.3">
      <c r="G30" t="s">
        <v>10</v>
      </c>
    </row>
    <row r="31" spans="1:19" x14ac:dyDescent="0.3">
      <c r="G31">
        <f>718/(E27+173)</f>
        <v>3.6262626262626263</v>
      </c>
    </row>
  </sheetData>
  <sortState ref="A3:L17">
    <sortCondition descending="1" ref="B3:B17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K1" zoomScale="80" zoomScaleNormal="80" workbookViewId="0">
      <selection activeCell="M4" sqref="M4"/>
    </sheetView>
  </sheetViews>
  <sheetFormatPr defaultRowHeight="14.4" x14ac:dyDescent="0.3"/>
  <cols>
    <col min="1" max="1" width="22.88671875" hidden="1" customWidth="1"/>
    <col min="2" max="2" width="12.109375" hidden="1" customWidth="1"/>
    <col min="3" max="3" width="10.88671875" hidden="1" customWidth="1"/>
    <col min="4" max="4" width="15" hidden="1" customWidth="1"/>
    <col min="5" max="5" width="10.88671875" hidden="1" customWidth="1"/>
    <col min="6" max="6" width="10.33203125" hidden="1" customWidth="1"/>
    <col min="7" max="7" width="4.44140625" hidden="1" customWidth="1"/>
    <col min="8" max="8" width="4.109375" hidden="1" customWidth="1"/>
    <col min="9" max="9" width="4" hidden="1" customWidth="1"/>
    <col min="10" max="10" width="1.44140625" hidden="1" customWidth="1"/>
    <col min="11" max="11" width="12.33203125" style="7" customWidth="1"/>
    <col min="12" max="12" width="16" customWidth="1"/>
    <col min="13" max="13" width="18.88671875" style="28" bestFit="1" customWidth="1"/>
    <col min="14" max="14" width="15.44140625" style="7" bestFit="1" customWidth="1"/>
    <col min="15" max="15" width="9.109375" style="28"/>
    <col min="16" max="16" width="19.33203125" bestFit="1" customWidth="1"/>
    <col min="21" max="21" width="12.33203125" bestFit="1" customWidth="1"/>
    <col min="22" max="22" width="17.33203125" bestFit="1" customWidth="1"/>
    <col min="23" max="23" width="8.33203125" customWidth="1"/>
    <col min="24" max="24" width="16.5546875" bestFit="1" customWidth="1"/>
  </cols>
  <sheetData>
    <row r="1" spans="11:24" ht="15" x14ac:dyDescent="0.25">
      <c r="K1"/>
      <c r="M1"/>
      <c r="V1" s="7"/>
    </row>
    <row r="2" spans="11:24" ht="15" x14ac:dyDescent="0.25">
      <c r="K2"/>
      <c r="M2"/>
      <c r="V2" s="7"/>
    </row>
    <row r="3" spans="11:24" ht="15" x14ac:dyDescent="0.25">
      <c r="K3"/>
      <c r="M3"/>
      <c r="U3" s="31"/>
      <c r="V3" s="33"/>
      <c r="W3" s="31"/>
    </row>
    <row r="4" spans="11:24" ht="15" x14ac:dyDescent="0.25">
      <c r="K4"/>
      <c r="M4"/>
      <c r="P4" t="s">
        <v>60</v>
      </c>
      <c r="Q4">
        <v>150</v>
      </c>
      <c r="R4" t="s">
        <v>38</v>
      </c>
      <c r="U4" s="31"/>
      <c r="V4" s="33"/>
      <c r="W4" s="31"/>
    </row>
    <row r="5" spans="11:24" ht="15" x14ac:dyDescent="0.25">
      <c r="K5"/>
      <c r="M5"/>
      <c r="P5" t="s">
        <v>39</v>
      </c>
      <c r="Q5">
        <v>150</v>
      </c>
      <c r="R5" t="s">
        <v>40</v>
      </c>
      <c r="U5" s="31"/>
      <c r="V5" s="31"/>
      <c r="W5" s="31"/>
    </row>
    <row r="6" spans="11:24" ht="15" x14ac:dyDescent="0.25">
      <c r="K6"/>
      <c r="M6"/>
      <c r="P6" t="s">
        <v>37</v>
      </c>
      <c r="Q6">
        <f>O25</f>
        <v>73.082382029211786</v>
      </c>
      <c r="R6" t="s">
        <v>38</v>
      </c>
      <c r="U6" s="31"/>
      <c r="V6" s="31"/>
      <c r="W6" s="31"/>
    </row>
    <row r="7" spans="11:24" ht="15" x14ac:dyDescent="0.25">
      <c r="K7"/>
      <c r="M7"/>
      <c r="P7" t="s">
        <v>61</v>
      </c>
      <c r="Q7">
        <f>O11</f>
        <v>0.73330408266505054</v>
      </c>
      <c r="U7" s="31"/>
      <c r="V7" s="31"/>
      <c r="W7" s="31"/>
    </row>
    <row r="8" spans="11:24" ht="15" x14ac:dyDescent="0.25">
      <c r="K8"/>
      <c r="M8"/>
      <c r="U8" s="31"/>
      <c r="V8" s="31"/>
      <c r="W8" s="31"/>
    </row>
    <row r="9" spans="11:24" ht="15" x14ac:dyDescent="0.25">
      <c r="K9"/>
      <c r="M9"/>
      <c r="O9" s="28" t="s">
        <v>49</v>
      </c>
      <c r="U9" s="31"/>
      <c r="V9" s="33"/>
      <c r="W9" s="31"/>
    </row>
    <row r="10" spans="11:24" ht="15" x14ac:dyDescent="0.25">
      <c r="K10"/>
      <c r="M10"/>
      <c r="U10" s="31"/>
      <c r="V10" s="33"/>
      <c r="W10" s="31"/>
    </row>
    <row r="11" spans="11:24" ht="15" x14ac:dyDescent="0.25">
      <c r="K11"/>
      <c r="M11"/>
      <c r="N11" s="7" t="s">
        <v>55</v>
      </c>
      <c r="O11" s="28">
        <f>SUM(M19:M24)</f>
        <v>0.73330408266505054</v>
      </c>
      <c r="P11" t="s">
        <v>63</v>
      </c>
      <c r="V11" s="7"/>
    </row>
    <row r="12" spans="11:24" ht="15" x14ac:dyDescent="0.25">
      <c r="K12"/>
      <c r="M12"/>
      <c r="N12" s="7" t="s">
        <v>58</v>
      </c>
      <c r="O12" s="28">
        <f>M19+M20+M21</f>
        <v>0.35742844228932735</v>
      </c>
      <c r="P12">
        <f>2666.4*(H19^-0.756)</f>
        <v>1.0316447851064343</v>
      </c>
      <c r="V12" s="7"/>
    </row>
    <row r="13" spans="11:24" ht="15" x14ac:dyDescent="0.25">
      <c r="K13"/>
      <c r="M13"/>
      <c r="N13" s="7" t="s">
        <v>56</v>
      </c>
      <c r="O13" s="28">
        <f>M22</f>
        <v>0.36602662843721878</v>
      </c>
      <c r="V13" s="7"/>
    </row>
    <row r="14" spans="11:24" ht="15" x14ac:dyDescent="0.25">
      <c r="K14"/>
      <c r="M14"/>
      <c r="N14" s="7" t="s">
        <v>57</v>
      </c>
      <c r="O14" s="28">
        <f>SUM(M22:M24)</f>
        <v>0.37587564037572324</v>
      </c>
      <c r="V14" s="7"/>
    </row>
    <row r="15" spans="11:24" ht="15" x14ac:dyDescent="0.25">
      <c r="K15"/>
      <c r="M15"/>
      <c r="V15" s="7"/>
    </row>
    <row r="16" spans="11:24" ht="15" x14ac:dyDescent="0.25">
      <c r="K16"/>
      <c r="M16"/>
      <c r="V16" s="7"/>
      <c r="X16" t="s">
        <v>64</v>
      </c>
    </row>
    <row r="17" spans="1:25" ht="15" x14ac:dyDescent="0.25">
      <c r="A17" t="s">
        <v>42</v>
      </c>
      <c r="B17" t="s">
        <v>43</v>
      </c>
      <c r="C17" t="s">
        <v>44</v>
      </c>
      <c r="D17" t="s">
        <v>47</v>
      </c>
      <c r="E17" t="s">
        <v>44</v>
      </c>
      <c r="F17" t="s">
        <v>45</v>
      </c>
      <c r="G17" t="s">
        <v>48</v>
      </c>
      <c r="H17" t="s">
        <v>50</v>
      </c>
      <c r="I17" t="s">
        <v>51</v>
      </c>
      <c r="J17" t="s">
        <v>52</v>
      </c>
      <c r="K17" s="7" t="s">
        <v>1</v>
      </c>
      <c r="M17" s="28" t="s">
        <v>49</v>
      </c>
      <c r="N17" s="7" t="s">
        <v>54</v>
      </c>
      <c r="O17" s="28" t="s">
        <v>53</v>
      </c>
      <c r="R17" t="s">
        <v>23</v>
      </c>
      <c r="S17" t="s">
        <v>24</v>
      </c>
      <c r="T17" t="s">
        <v>30</v>
      </c>
      <c r="U17" t="s">
        <v>41</v>
      </c>
      <c r="V17" s="7" t="s">
        <v>35</v>
      </c>
      <c r="W17" t="s">
        <v>46</v>
      </c>
    </row>
    <row r="18" spans="1:25" ht="15" x14ac:dyDescent="0.25">
      <c r="R18" t="s">
        <v>31</v>
      </c>
      <c r="S18" t="s">
        <v>31</v>
      </c>
      <c r="T18" t="s">
        <v>31</v>
      </c>
      <c r="V18" s="7" t="s">
        <v>36</v>
      </c>
    </row>
    <row r="19" spans="1:25" ht="15" x14ac:dyDescent="0.25">
      <c r="A19" t="s">
        <v>22</v>
      </c>
      <c r="B19">
        <f>R19</f>
        <v>192</v>
      </c>
      <c r="C19">
        <f>B19</f>
        <v>192</v>
      </c>
      <c r="D19">
        <f t="shared" ref="D19:D24" si="0">(B19+C19)/2</f>
        <v>192</v>
      </c>
      <c r="E19">
        <f>S19</f>
        <v>170</v>
      </c>
      <c r="F19">
        <f>E19</f>
        <v>170</v>
      </c>
      <c r="G19">
        <f t="shared" ref="G19:G24" si="1">(E19+F19)/2</f>
        <v>170</v>
      </c>
      <c r="H19">
        <f>D19*G19</f>
        <v>32640</v>
      </c>
      <c r="I19">
        <f>H19/1000000</f>
        <v>3.2640000000000002E-2</v>
      </c>
      <c r="J19">
        <f>T19/1000</f>
        <v>1.6E-2</v>
      </c>
      <c r="K19" s="29">
        <f>718/(O19+173)</f>
        <v>2.2229102167182662</v>
      </c>
      <c r="L19" t="str">
        <f>P19</f>
        <v>die size</v>
      </c>
      <c r="M19" s="28">
        <f>(J19*100)/(I19*K19*X19)</f>
        <v>0.22051996285979575</v>
      </c>
      <c r="N19" s="7">
        <f t="shared" ref="N19:N23" si="2">$Q$5*M19</f>
        <v>33.077994428969362</v>
      </c>
      <c r="O19" s="28">
        <f>$Q$4</f>
        <v>150</v>
      </c>
      <c r="P19" t="s">
        <v>22</v>
      </c>
      <c r="R19" s="31">
        <v>192</v>
      </c>
      <c r="S19" s="31">
        <v>170</v>
      </c>
      <c r="T19" s="32">
        <v>16</v>
      </c>
      <c r="U19" s="32">
        <f>K19</f>
        <v>2.2229102167182662</v>
      </c>
      <c r="V19" s="33">
        <v>0</v>
      </c>
      <c r="W19" s="31">
        <f t="shared" ref="W19:W24" si="3">TAN(RADIANS(V19))</f>
        <v>0</v>
      </c>
      <c r="X19" s="31">
        <v>100</v>
      </c>
      <c r="Y19" t="s">
        <v>62</v>
      </c>
    </row>
    <row r="20" spans="1:25" ht="15" x14ac:dyDescent="0.25">
      <c r="A20" t="s">
        <v>25</v>
      </c>
      <c r="B20">
        <f t="shared" ref="B20:B25" si="4">C19</f>
        <v>192</v>
      </c>
      <c r="C20">
        <f>B20+(2*T20*W20)</f>
        <v>196</v>
      </c>
      <c r="D20">
        <f t="shared" si="0"/>
        <v>194</v>
      </c>
      <c r="E20">
        <f t="shared" ref="E20:E25" si="5">F19</f>
        <v>170</v>
      </c>
      <c r="F20">
        <f>E20+(2*T20*W20)</f>
        <v>174</v>
      </c>
      <c r="G20">
        <f t="shared" si="1"/>
        <v>172</v>
      </c>
      <c r="H20">
        <f t="shared" ref="H20:H24" si="6">D20*G20</f>
        <v>33368</v>
      </c>
      <c r="I20">
        <f t="shared" ref="I20:I24" si="7">H20/1000000</f>
        <v>3.3368000000000002E-2</v>
      </c>
      <c r="J20">
        <f t="shared" ref="J20:J24" si="8">T20/1000</f>
        <v>2E-3</v>
      </c>
      <c r="K20" s="7">
        <f>U20</f>
        <v>1.25</v>
      </c>
      <c r="L20" t="str">
        <f t="shared" ref="L20:L25" si="9">P20</f>
        <v>internal solder</v>
      </c>
      <c r="M20" s="28">
        <f>(J20*100)/(I20*K20*X20)</f>
        <v>4.7950131862862622E-2</v>
      </c>
      <c r="N20" s="7">
        <f t="shared" si="2"/>
        <v>7.1925197794293929</v>
      </c>
      <c r="O20" s="28">
        <f>O19-N20</f>
        <v>142.8074802205706</v>
      </c>
      <c r="P20" t="s">
        <v>59</v>
      </c>
      <c r="R20" s="31">
        <f>C20</f>
        <v>196</v>
      </c>
      <c r="S20" s="31">
        <f>F20</f>
        <v>174</v>
      </c>
      <c r="T20" s="31">
        <v>2</v>
      </c>
      <c r="U20" s="31">
        <f>U37</f>
        <v>1.25</v>
      </c>
      <c r="V20" s="33">
        <v>45</v>
      </c>
      <c r="W20" s="31">
        <f t="shared" si="3"/>
        <v>0.99999999999999989</v>
      </c>
      <c r="X20" s="31">
        <v>100</v>
      </c>
      <c r="Y20" t="s">
        <v>62</v>
      </c>
    </row>
    <row r="21" spans="1:25" ht="15" x14ac:dyDescent="0.25">
      <c r="A21" t="s">
        <v>26</v>
      </c>
      <c r="B21">
        <f t="shared" si="4"/>
        <v>196</v>
      </c>
      <c r="C21">
        <f>B21+(2*T21*W21)</f>
        <v>296</v>
      </c>
      <c r="D21">
        <f t="shared" si="0"/>
        <v>246</v>
      </c>
      <c r="E21">
        <f t="shared" si="5"/>
        <v>174</v>
      </c>
      <c r="F21">
        <f>E21+(2*T21*W21)</f>
        <v>274</v>
      </c>
      <c r="G21">
        <f t="shared" si="1"/>
        <v>224</v>
      </c>
      <c r="H21">
        <f>D21*G21</f>
        <v>55104</v>
      </c>
      <c r="I21">
        <f>H21/1000000</f>
        <v>5.5104E-2</v>
      </c>
      <c r="J21">
        <f t="shared" si="8"/>
        <v>0.05</v>
      </c>
      <c r="K21" s="7">
        <f>U21</f>
        <v>10.199999999999999</v>
      </c>
      <c r="L21" t="str">
        <f t="shared" si="9"/>
        <v>package bottom</v>
      </c>
      <c r="M21" s="28">
        <f>(J21*100)/(I21*K21*X21)</f>
        <v>8.8958347566668955E-2</v>
      </c>
      <c r="N21" s="7">
        <f t="shared" si="2"/>
        <v>13.343752135000344</v>
      </c>
      <c r="O21" s="28">
        <f t="shared" ref="O21:O25" si="10">O20-N21</f>
        <v>129.46372808557027</v>
      </c>
      <c r="P21" t="s">
        <v>26</v>
      </c>
      <c r="R21" s="31">
        <f>C21</f>
        <v>296</v>
      </c>
      <c r="S21" s="31">
        <f>F21</f>
        <v>274</v>
      </c>
      <c r="T21" s="31">
        <v>50</v>
      </c>
      <c r="U21" s="31">
        <f>U29</f>
        <v>10.199999999999999</v>
      </c>
      <c r="V21" s="33">
        <v>45</v>
      </c>
      <c r="W21" s="31">
        <f t="shared" si="3"/>
        <v>0.99999999999999989</v>
      </c>
      <c r="X21" s="31">
        <v>100</v>
      </c>
      <c r="Y21" t="s">
        <v>62</v>
      </c>
    </row>
    <row r="22" spans="1:25" ht="15" x14ac:dyDescent="0.25">
      <c r="A22" t="s">
        <v>27</v>
      </c>
      <c r="B22">
        <f t="shared" si="4"/>
        <v>296</v>
      </c>
      <c r="C22">
        <f>B22+(2*T22*W22)</f>
        <v>299</v>
      </c>
      <c r="D22">
        <f t="shared" si="0"/>
        <v>297.5</v>
      </c>
      <c r="E22">
        <f t="shared" si="5"/>
        <v>274</v>
      </c>
      <c r="F22">
        <f>E22+(2*T22*W22)</f>
        <v>277</v>
      </c>
      <c r="G22">
        <f t="shared" si="1"/>
        <v>275.5</v>
      </c>
      <c r="H22">
        <f t="shared" si="6"/>
        <v>81961.25</v>
      </c>
      <c r="I22">
        <f t="shared" si="7"/>
        <v>8.1961249999999999E-2</v>
      </c>
      <c r="J22">
        <f t="shared" si="8"/>
        <v>1.5E-3</v>
      </c>
      <c r="K22" s="7">
        <f>U22</f>
        <v>0.05</v>
      </c>
      <c r="L22" t="str">
        <f t="shared" si="9"/>
        <v>grease</v>
      </c>
      <c r="M22" s="28">
        <f t="shared" ref="M22:M24" si="11">(J22*100)/(I22*K22*X22)</f>
        <v>0.36602662843721878</v>
      </c>
      <c r="N22" s="7">
        <f t="shared" si="2"/>
        <v>54.903994265582817</v>
      </c>
      <c r="O22" s="28">
        <f t="shared" si="10"/>
        <v>74.559733819987457</v>
      </c>
      <c r="P22" t="s">
        <v>27</v>
      </c>
      <c r="R22" s="31">
        <f>C22</f>
        <v>299</v>
      </c>
      <c r="S22" s="31">
        <f>F22</f>
        <v>277</v>
      </c>
      <c r="T22" s="31">
        <v>1.5</v>
      </c>
      <c r="U22" s="31">
        <f>U42</f>
        <v>0.05</v>
      </c>
      <c r="V22" s="33">
        <v>45</v>
      </c>
      <c r="W22" s="31">
        <f t="shared" si="3"/>
        <v>0.99999999999999989</v>
      </c>
      <c r="X22" s="31">
        <v>100</v>
      </c>
      <c r="Y22" t="s">
        <v>62</v>
      </c>
    </row>
    <row r="23" spans="1:25" ht="15" x14ac:dyDescent="0.25">
      <c r="A23" t="s">
        <v>28</v>
      </c>
      <c r="B23">
        <f t="shared" si="4"/>
        <v>299</v>
      </c>
      <c r="C23">
        <f>B23+(2*T23*W23)</f>
        <v>307</v>
      </c>
      <c r="D23">
        <f t="shared" si="0"/>
        <v>303</v>
      </c>
      <c r="E23">
        <f t="shared" si="5"/>
        <v>277</v>
      </c>
      <c r="F23">
        <f>E23+(2*T23*W23)</f>
        <v>285</v>
      </c>
      <c r="G23">
        <f t="shared" si="1"/>
        <v>281</v>
      </c>
      <c r="H23">
        <f t="shared" si="6"/>
        <v>85143</v>
      </c>
      <c r="I23">
        <f t="shared" si="7"/>
        <v>8.5142999999999996E-2</v>
      </c>
      <c r="J23">
        <f t="shared" si="8"/>
        <v>4.0000000000000001E-3</v>
      </c>
      <c r="K23" s="7">
        <f>U23</f>
        <v>4.7699999999999996</v>
      </c>
      <c r="L23" t="str">
        <f t="shared" si="9"/>
        <v>insulator</v>
      </c>
      <c r="M23" s="28">
        <f t="shared" si="11"/>
        <v>9.8490119385044456E-3</v>
      </c>
      <c r="N23" s="7">
        <f t="shared" si="2"/>
        <v>1.4773517907756668</v>
      </c>
      <c r="O23" s="28">
        <f t="shared" si="10"/>
        <v>73.082382029211786</v>
      </c>
      <c r="P23" t="s">
        <v>28</v>
      </c>
      <c r="R23" s="31">
        <f>C23</f>
        <v>307</v>
      </c>
      <c r="S23" s="31">
        <f>F23</f>
        <v>285</v>
      </c>
      <c r="T23" s="32">
        <v>4</v>
      </c>
      <c r="U23" s="31">
        <f>U33</f>
        <v>4.7699999999999996</v>
      </c>
      <c r="V23" s="33">
        <v>45</v>
      </c>
      <c r="W23" s="31">
        <f t="shared" si="3"/>
        <v>0.99999999999999989</v>
      </c>
      <c r="X23" s="31">
        <v>100</v>
      </c>
      <c r="Y23" t="s">
        <v>62</v>
      </c>
    </row>
    <row r="24" spans="1:25" ht="15" x14ac:dyDescent="0.25">
      <c r="A24" t="s">
        <v>27</v>
      </c>
      <c r="B24">
        <f t="shared" si="4"/>
        <v>307</v>
      </c>
      <c r="C24">
        <f>B24+(2*T24*W24)</f>
        <v>307</v>
      </c>
      <c r="D24">
        <f t="shared" si="0"/>
        <v>307</v>
      </c>
      <c r="E24">
        <f t="shared" si="5"/>
        <v>285</v>
      </c>
      <c r="F24">
        <f>E24+(2*T24*W24)</f>
        <v>285</v>
      </c>
      <c r="G24">
        <f t="shared" si="1"/>
        <v>285</v>
      </c>
      <c r="H24">
        <f t="shared" si="6"/>
        <v>87495</v>
      </c>
      <c r="I24">
        <f t="shared" si="7"/>
        <v>8.7495000000000003E-2</v>
      </c>
      <c r="J24">
        <f t="shared" si="8"/>
        <v>0</v>
      </c>
      <c r="K24" s="7">
        <f>U24</f>
        <v>0.06</v>
      </c>
      <c r="L24" t="str">
        <f t="shared" si="9"/>
        <v>grease</v>
      </c>
      <c r="M24" s="28">
        <f t="shared" si="11"/>
        <v>0</v>
      </c>
      <c r="N24" s="7">
        <f>$Q$5*M24</f>
        <v>0</v>
      </c>
      <c r="O24" s="28">
        <f t="shared" si="10"/>
        <v>73.082382029211786</v>
      </c>
      <c r="P24" t="s">
        <v>27</v>
      </c>
      <c r="R24" s="31">
        <f>C24</f>
        <v>307</v>
      </c>
      <c r="S24" s="31">
        <f>F24</f>
        <v>285</v>
      </c>
      <c r="T24" s="32">
        <v>0</v>
      </c>
      <c r="U24" s="31">
        <f>U40</f>
        <v>0.06</v>
      </c>
      <c r="V24" s="33">
        <v>45</v>
      </c>
      <c r="W24" s="31">
        <f t="shared" si="3"/>
        <v>0.99999999999999989</v>
      </c>
      <c r="X24" s="31">
        <v>100</v>
      </c>
      <c r="Y24" t="s">
        <v>62</v>
      </c>
    </row>
    <row r="25" spans="1:25" ht="15" x14ac:dyDescent="0.25">
      <c r="A25" t="s">
        <v>29</v>
      </c>
      <c r="B25">
        <f t="shared" si="4"/>
        <v>307</v>
      </c>
      <c r="C25" s="17"/>
      <c r="D25" s="17"/>
      <c r="E25">
        <f t="shared" si="5"/>
        <v>285</v>
      </c>
      <c r="F25" s="17"/>
      <c r="G25" s="17"/>
      <c r="H25" s="17"/>
      <c r="L25" t="str">
        <f t="shared" si="9"/>
        <v>heatsink</v>
      </c>
      <c r="O25" s="28">
        <f t="shared" si="10"/>
        <v>73.082382029211786</v>
      </c>
      <c r="P25" t="s">
        <v>29</v>
      </c>
      <c r="V25" s="7"/>
    </row>
    <row r="26" spans="1:25" ht="15" x14ac:dyDescent="0.25">
      <c r="V26" s="7"/>
    </row>
    <row r="27" spans="1:25" ht="15.75" thickBot="1" x14ac:dyDescent="0.3">
      <c r="V27" s="7"/>
    </row>
    <row r="28" spans="1:25" ht="15" x14ac:dyDescent="0.25">
      <c r="T28" s="8" t="s">
        <v>2</v>
      </c>
      <c r="U28" s="34">
        <v>11</v>
      </c>
      <c r="V28" s="7"/>
    </row>
    <row r="29" spans="1:25" ht="15" x14ac:dyDescent="0.25">
      <c r="T29" s="9" t="s">
        <v>3</v>
      </c>
      <c r="U29" s="35">
        <v>10.199999999999999</v>
      </c>
      <c r="V29" s="7"/>
    </row>
    <row r="30" spans="1:25" ht="15" x14ac:dyDescent="0.25">
      <c r="T30" s="9" t="s">
        <v>5</v>
      </c>
      <c r="U30" s="35">
        <v>7.9</v>
      </c>
      <c r="V30" s="7"/>
    </row>
    <row r="31" spans="1:25" ht="15" x14ac:dyDescent="0.25">
      <c r="T31" s="9" t="s">
        <v>13</v>
      </c>
      <c r="U31" s="35">
        <v>6.3</v>
      </c>
      <c r="V31" s="7"/>
    </row>
    <row r="32" spans="1:25" ht="15" x14ac:dyDescent="0.25">
      <c r="T32" s="9" t="s">
        <v>4</v>
      </c>
      <c r="U32" s="35">
        <v>5.4</v>
      </c>
      <c r="V32" s="7"/>
    </row>
    <row r="33" spans="11:22" ht="15" x14ac:dyDescent="0.25">
      <c r="K33"/>
      <c r="M33"/>
      <c r="N33"/>
      <c r="O33"/>
      <c r="T33" s="9" t="s">
        <v>14</v>
      </c>
      <c r="U33" s="35">
        <v>4.7699999999999996</v>
      </c>
      <c r="V33" s="7"/>
    </row>
    <row r="34" spans="11:22" ht="15" x14ac:dyDescent="0.25">
      <c r="K34"/>
      <c r="M34"/>
      <c r="N34"/>
      <c r="O34"/>
      <c r="T34" s="9" t="s">
        <v>6</v>
      </c>
      <c r="U34" s="35">
        <v>4.3</v>
      </c>
      <c r="V34" s="7"/>
    </row>
    <row r="35" spans="11:22" ht="15" x14ac:dyDescent="0.25">
      <c r="K35"/>
      <c r="M35"/>
      <c r="N35"/>
      <c r="O35"/>
      <c r="T35" s="9" t="s">
        <v>7</v>
      </c>
      <c r="U35" s="35">
        <v>3.5</v>
      </c>
      <c r="V35" s="7"/>
    </row>
    <row r="36" spans="11:22" x14ac:dyDescent="0.3">
      <c r="K36"/>
      <c r="M36"/>
      <c r="N36"/>
      <c r="O36"/>
      <c r="T36" s="9" t="s">
        <v>10</v>
      </c>
      <c r="U36" s="35">
        <v>3.3</v>
      </c>
      <c r="V36" s="7"/>
    </row>
    <row r="37" spans="11:22" x14ac:dyDescent="0.3">
      <c r="K37"/>
      <c r="M37"/>
      <c r="N37"/>
      <c r="O37"/>
      <c r="T37" s="9" t="s">
        <v>12</v>
      </c>
      <c r="U37" s="35">
        <v>1.25</v>
      </c>
      <c r="V37" s="7"/>
    </row>
    <row r="38" spans="11:22" x14ac:dyDescent="0.3">
      <c r="K38"/>
      <c r="M38"/>
      <c r="N38"/>
      <c r="O38"/>
      <c r="T38" s="9" t="s">
        <v>18</v>
      </c>
      <c r="U38" s="35">
        <v>0.89</v>
      </c>
      <c r="V38" s="7"/>
    </row>
    <row r="39" spans="11:22" x14ac:dyDescent="0.3">
      <c r="K39"/>
      <c r="M39"/>
      <c r="N39"/>
      <c r="O39"/>
      <c r="T39" s="9" t="s">
        <v>11</v>
      </c>
      <c r="U39" s="35">
        <v>0.3</v>
      </c>
      <c r="V39" s="7"/>
    </row>
    <row r="40" spans="11:22" x14ac:dyDescent="0.3">
      <c r="K40"/>
      <c r="M40"/>
      <c r="N40"/>
      <c r="O40"/>
      <c r="T40" s="9" t="s">
        <v>15</v>
      </c>
      <c r="U40" s="35">
        <v>0.06</v>
      </c>
      <c r="V40" s="7"/>
    </row>
    <row r="41" spans="11:22" x14ac:dyDescent="0.3">
      <c r="K41"/>
      <c r="M41"/>
      <c r="N41"/>
      <c r="O41"/>
      <c r="T41" s="9" t="s">
        <v>16</v>
      </c>
      <c r="U41" s="35">
        <v>1.4999999999999999E-2</v>
      </c>
      <c r="V41" s="7"/>
    </row>
    <row r="42" spans="11:22" ht="15" thickBot="1" x14ac:dyDescent="0.35">
      <c r="K42"/>
      <c r="M42"/>
      <c r="N42"/>
      <c r="O42"/>
      <c r="T42" s="10" t="s">
        <v>17</v>
      </c>
      <c r="U42" s="36">
        <v>0.05</v>
      </c>
      <c r="V4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opLeftCell="K1" zoomScale="80" zoomScaleNormal="80" workbookViewId="0">
      <selection activeCell="M37" sqref="M37"/>
    </sheetView>
  </sheetViews>
  <sheetFormatPr defaultRowHeight="14.4" x14ac:dyDescent="0.3"/>
  <cols>
    <col min="1" max="1" width="22.88671875" hidden="1" customWidth="1"/>
    <col min="2" max="2" width="12.109375" hidden="1" customWidth="1"/>
    <col min="3" max="3" width="10.88671875" hidden="1" customWidth="1"/>
    <col min="4" max="4" width="15" hidden="1" customWidth="1"/>
    <col min="5" max="5" width="10.88671875" hidden="1" customWidth="1"/>
    <col min="6" max="6" width="10.33203125" hidden="1" customWidth="1"/>
    <col min="7" max="7" width="14.33203125" hidden="1" customWidth="1"/>
    <col min="8" max="8" width="17" hidden="1" customWidth="1"/>
    <col min="9" max="9" width="19.109375" hidden="1" customWidth="1"/>
    <col min="10" max="10" width="16.5546875" hidden="1" customWidth="1"/>
    <col min="11" max="11" width="12.33203125" style="7" customWidth="1"/>
    <col min="12" max="12" width="16" customWidth="1"/>
    <col min="13" max="13" width="18.88671875" style="28" bestFit="1" customWidth="1"/>
    <col min="14" max="14" width="15.44140625" style="28" bestFit="1" customWidth="1"/>
    <col min="15" max="15" width="9.109375" style="28"/>
    <col min="16" max="16" width="19.33203125" bestFit="1" customWidth="1"/>
    <col min="21" max="21" width="12.33203125" bestFit="1" customWidth="1"/>
    <col min="22" max="22" width="17.33203125" bestFit="1" customWidth="1"/>
    <col min="23" max="23" width="8.33203125" customWidth="1"/>
    <col min="24" max="24" width="16.5546875" bestFit="1" customWidth="1"/>
  </cols>
  <sheetData>
    <row r="1" spans="14:24" customFormat="1" ht="15" x14ac:dyDescent="0.25">
      <c r="N1" s="28"/>
      <c r="O1" s="28"/>
      <c r="V1" s="7"/>
    </row>
    <row r="2" spans="14:24" customFormat="1" ht="15" x14ac:dyDescent="0.25">
      <c r="N2" s="28"/>
      <c r="O2" s="28"/>
      <c r="V2" s="7"/>
    </row>
    <row r="3" spans="14:24" customFormat="1" ht="15" x14ac:dyDescent="0.25">
      <c r="N3" s="28"/>
      <c r="O3" s="28"/>
      <c r="U3" s="31"/>
      <c r="V3" s="33"/>
      <c r="W3" s="31"/>
    </row>
    <row r="4" spans="14:24" customFormat="1" ht="15" x14ac:dyDescent="0.25">
      <c r="N4" s="28"/>
      <c r="O4" s="28"/>
      <c r="P4" t="s">
        <v>60</v>
      </c>
      <c r="Q4">
        <v>150</v>
      </c>
      <c r="R4" t="s">
        <v>38</v>
      </c>
      <c r="U4" s="31"/>
      <c r="V4" s="33"/>
      <c r="W4" s="31"/>
    </row>
    <row r="5" spans="14:24" customFormat="1" ht="15" x14ac:dyDescent="0.25">
      <c r="N5" s="28"/>
      <c r="O5" s="28"/>
      <c r="P5" t="s">
        <v>39</v>
      </c>
      <c r="Q5">
        <v>150</v>
      </c>
      <c r="R5" t="s">
        <v>40</v>
      </c>
      <c r="U5" s="31"/>
      <c r="V5" s="31"/>
      <c r="W5" s="31"/>
    </row>
    <row r="6" spans="14:24" customFormat="1" ht="15" x14ac:dyDescent="0.25">
      <c r="N6" s="28"/>
      <c r="O6" s="28"/>
      <c r="P6" t="s">
        <v>37</v>
      </c>
      <c r="Q6">
        <f>O25</f>
        <v>93.618653943641519</v>
      </c>
      <c r="R6" t="s">
        <v>38</v>
      </c>
      <c r="U6" s="31"/>
      <c r="V6" s="31"/>
      <c r="W6" s="31"/>
    </row>
    <row r="7" spans="14:24" customFormat="1" ht="15" x14ac:dyDescent="0.25">
      <c r="N7" s="28"/>
      <c r="O7" s="28"/>
      <c r="P7" t="s">
        <v>61</v>
      </c>
      <c r="Q7">
        <f>O11</f>
        <v>1.3758756403757233</v>
      </c>
      <c r="U7" s="31"/>
      <c r="V7" s="31"/>
      <c r="W7" s="31"/>
    </row>
    <row r="8" spans="14:24" customFormat="1" ht="15" x14ac:dyDescent="0.25">
      <c r="N8" s="28"/>
      <c r="O8" s="28"/>
      <c r="U8" s="31"/>
      <c r="V8" s="31"/>
      <c r="W8" s="31"/>
    </row>
    <row r="9" spans="14:24" customFormat="1" ht="15" x14ac:dyDescent="0.25">
      <c r="N9" s="28"/>
      <c r="O9" s="28" t="s">
        <v>49</v>
      </c>
      <c r="U9" s="31"/>
      <c r="V9" s="33"/>
      <c r="W9" s="31"/>
    </row>
    <row r="10" spans="14:24" customFormat="1" ht="15" x14ac:dyDescent="0.25">
      <c r="N10" s="28"/>
      <c r="O10" s="28"/>
      <c r="V10" s="7"/>
    </row>
    <row r="11" spans="14:24" customFormat="1" ht="15" x14ac:dyDescent="0.25">
      <c r="N11" s="28" t="s">
        <v>55</v>
      </c>
      <c r="O11" s="28">
        <f>SUM(M19:M24)</f>
        <v>1.3758756403757233</v>
      </c>
      <c r="P11" t="s">
        <v>63</v>
      </c>
      <c r="V11" s="7"/>
    </row>
    <row r="12" spans="14:24" customFormat="1" ht="15" x14ac:dyDescent="0.25">
      <c r="N12" s="28" t="s">
        <v>58</v>
      </c>
      <c r="O12" s="28">
        <f>M19+M20+M21</f>
        <v>1</v>
      </c>
      <c r="P12">
        <f>2666.4*(H19^-0.756)</f>
        <v>1.0316447851064343</v>
      </c>
      <c r="V12" s="7"/>
    </row>
    <row r="13" spans="14:24" customFormat="1" ht="15" x14ac:dyDescent="0.25">
      <c r="N13" s="28" t="s">
        <v>56</v>
      </c>
      <c r="O13" s="28">
        <f>M22</f>
        <v>0.36602662843721878</v>
      </c>
      <c r="V13" s="7"/>
    </row>
    <row r="14" spans="14:24" customFormat="1" ht="15" x14ac:dyDescent="0.25">
      <c r="N14" s="28" t="s">
        <v>57</v>
      </c>
      <c r="O14" s="28">
        <f>SUM(M22:M24)</f>
        <v>0.37587564037572324</v>
      </c>
      <c r="V14" s="7"/>
    </row>
    <row r="15" spans="14:24" customFormat="1" ht="15" x14ac:dyDescent="0.25">
      <c r="N15" s="28"/>
      <c r="O15" s="28"/>
      <c r="V15" s="7"/>
    </row>
    <row r="16" spans="14:24" customFormat="1" ht="15" x14ac:dyDescent="0.25">
      <c r="N16" s="28"/>
      <c r="O16" s="28"/>
      <c r="V16" s="7"/>
      <c r="X16" t="s">
        <v>64</v>
      </c>
    </row>
    <row r="17" spans="1:25" ht="15" x14ac:dyDescent="0.25">
      <c r="A17" t="s">
        <v>42</v>
      </c>
      <c r="B17" t="s">
        <v>43</v>
      </c>
      <c r="C17" t="s">
        <v>44</v>
      </c>
      <c r="D17" t="s">
        <v>47</v>
      </c>
      <c r="E17" t="s">
        <v>44</v>
      </c>
      <c r="F17" t="s">
        <v>45</v>
      </c>
      <c r="G17" t="s">
        <v>48</v>
      </c>
      <c r="H17" t="s">
        <v>50</v>
      </c>
      <c r="I17" t="s">
        <v>51</v>
      </c>
      <c r="J17" t="s">
        <v>52</v>
      </c>
      <c r="K17" s="7" t="s">
        <v>1</v>
      </c>
      <c r="M17" s="28" t="s">
        <v>49</v>
      </c>
      <c r="N17" s="28" t="s">
        <v>54</v>
      </c>
      <c r="O17" s="28" t="s">
        <v>53</v>
      </c>
      <c r="R17" t="s">
        <v>23</v>
      </c>
      <c r="S17" t="s">
        <v>24</v>
      </c>
      <c r="T17" t="s">
        <v>30</v>
      </c>
      <c r="U17" t="s">
        <v>41</v>
      </c>
      <c r="V17" s="7" t="s">
        <v>35</v>
      </c>
      <c r="W17" t="s">
        <v>46</v>
      </c>
    </row>
    <row r="18" spans="1:25" ht="15" x14ac:dyDescent="0.25">
      <c r="R18" t="s">
        <v>31</v>
      </c>
      <c r="S18" t="s">
        <v>31</v>
      </c>
      <c r="T18" t="s">
        <v>31</v>
      </c>
      <c r="V18" s="7" t="s">
        <v>36</v>
      </c>
    </row>
    <row r="19" spans="1:25" ht="18.75" x14ac:dyDescent="0.3">
      <c r="A19" t="s">
        <v>22</v>
      </c>
      <c r="B19">
        <f>R19</f>
        <v>192</v>
      </c>
      <c r="C19">
        <f>B19</f>
        <v>192</v>
      </c>
      <c r="D19">
        <f t="shared" ref="D19:D24" si="0">(B19+C19)/2</f>
        <v>192</v>
      </c>
      <c r="E19">
        <f>S19</f>
        <v>170</v>
      </c>
      <c r="F19">
        <f>E19</f>
        <v>170</v>
      </c>
      <c r="G19">
        <f t="shared" ref="G19:G24" si="1">(E19+F19)/2</f>
        <v>170</v>
      </c>
      <c r="H19">
        <f>D19*G19</f>
        <v>32640</v>
      </c>
      <c r="I19">
        <f>H19/1000000</f>
        <v>3.2640000000000002E-2</v>
      </c>
      <c r="J19">
        <f>T19/1000</f>
        <v>1.6E-2</v>
      </c>
      <c r="K19" s="29">
        <f>718/(O19+173)</f>
        <v>2.2229102167182662</v>
      </c>
      <c r="L19" t="str">
        <f>P19</f>
        <v>die size</v>
      </c>
      <c r="M19" s="41">
        <v>1</v>
      </c>
      <c r="N19" s="28">
        <f t="shared" ref="N19:N23" si="2">$Q$5*M19</f>
        <v>150</v>
      </c>
      <c r="O19" s="28">
        <f>$Q$4</f>
        <v>150</v>
      </c>
      <c r="P19" t="s">
        <v>22</v>
      </c>
      <c r="Q19" s="31"/>
      <c r="R19" s="31">
        <v>192</v>
      </c>
      <c r="S19" s="31">
        <v>170</v>
      </c>
      <c r="T19" s="32">
        <v>16</v>
      </c>
      <c r="U19" s="32">
        <f>K19</f>
        <v>2.2229102167182662</v>
      </c>
      <c r="V19" s="33">
        <v>0</v>
      </c>
      <c r="W19" s="31">
        <f t="shared" ref="W19:W24" si="3">TAN(RADIANS(V19))</f>
        <v>0</v>
      </c>
      <c r="X19" s="31">
        <v>45</v>
      </c>
      <c r="Y19" s="31" t="s">
        <v>62</v>
      </c>
    </row>
    <row r="20" spans="1:25" ht="15" x14ac:dyDescent="0.25">
      <c r="A20" t="s">
        <v>25</v>
      </c>
      <c r="B20">
        <f t="shared" ref="B20:B25" si="4">C19</f>
        <v>192</v>
      </c>
      <c r="C20">
        <f>B20+(2*T20*W20)</f>
        <v>196</v>
      </c>
      <c r="D20">
        <f t="shared" si="0"/>
        <v>194</v>
      </c>
      <c r="E20">
        <f t="shared" ref="E20:E25" si="5">F19</f>
        <v>170</v>
      </c>
      <c r="F20">
        <f>E20+(2*T20*W20)</f>
        <v>174</v>
      </c>
      <c r="G20">
        <f t="shared" si="1"/>
        <v>172</v>
      </c>
      <c r="H20">
        <f t="shared" ref="H20:H24" si="6">D20*G20</f>
        <v>33368</v>
      </c>
      <c r="I20">
        <f t="shared" ref="I20:I24" si="7">H20/1000000</f>
        <v>3.3368000000000002E-2</v>
      </c>
      <c r="J20">
        <f t="shared" ref="J20:J24" si="8">T20/1000</f>
        <v>2E-3</v>
      </c>
      <c r="K20" s="7">
        <f>U20</f>
        <v>1.25</v>
      </c>
      <c r="L20" t="str">
        <f t="shared" ref="L20:L25" si="9">P20</f>
        <v>internal solder</v>
      </c>
      <c r="M20" s="37">
        <v>0</v>
      </c>
      <c r="N20" s="28">
        <f t="shared" si="2"/>
        <v>0</v>
      </c>
      <c r="O20" s="28">
        <f>O19-N20</f>
        <v>150</v>
      </c>
      <c r="P20" t="s">
        <v>59</v>
      </c>
      <c r="Q20" s="31"/>
      <c r="R20" s="31">
        <f>C20</f>
        <v>196</v>
      </c>
      <c r="S20" s="31">
        <f>F20</f>
        <v>174</v>
      </c>
      <c r="T20" s="31">
        <v>2</v>
      </c>
      <c r="U20" s="31">
        <f>U37</f>
        <v>1.25</v>
      </c>
      <c r="V20" s="33">
        <v>45</v>
      </c>
      <c r="W20" s="31">
        <f t="shared" si="3"/>
        <v>0.99999999999999989</v>
      </c>
      <c r="X20" s="31">
        <v>100</v>
      </c>
      <c r="Y20" s="31" t="s">
        <v>62</v>
      </c>
    </row>
    <row r="21" spans="1:25" ht="15" x14ac:dyDescent="0.25">
      <c r="A21" t="s">
        <v>26</v>
      </c>
      <c r="B21">
        <f t="shared" si="4"/>
        <v>196</v>
      </c>
      <c r="C21">
        <f>B21+(2*T21*W21)</f>
        <v>296</v>
      </c>
      <c r="D21">
        <f t="shared" si="0"/>
        <v>246</v>
      </c>
      <c r="E21">
        <f t="shared" si="5"/>
        <v>174</v>
      </c>
      <c r="F21">
        <f>E21+(2*T21*W21)</f>
        <v>274</v>
      </c>
      <c r="G21">
        <f t="shared" si="1"/>
        <v>224</v>
      </c>
      <c r="H21">
        <f>D21*G21</f>
        <v>55104</v>
      </c>
      <c r="I21">
        <f>H21/1000000</f>
        <v>5.5104E-2</v>
      </c>
      <c r="J21">
        <f t="shared" si="8"/>
        <v>0.05</v>
      </c>
      <c r="K21" s="7">
        <f>U21</f>
        <v>10.199999999999999</v>
      </c>
      <c r="L21" t="str">
        <f t="shared" si="9"/>
        <v>package bottom</v>
      </c>
      <c r="M21" s="37">
        <v>0</v>
      </c>
      <c r="N21" s="28">
        <f t="shared" si="2"/>
        <v>0</v>
      </c>
      <c r="O21" s="28">
        <f t="shared" ref="O21:O25" si="10">O20-N21</f>
        <v>150</v>
      </c>
      <c r="P21" t="s">
        <v>26</v>
      </c>
      <c r="Q21" s="31"/>
      <c r="R21" s="31">
        <f>C21</f>
        <v>296</v>
      </c>
      <c r="S21" s="31">
        <f>F21</f>
        <v>274</v>
      </c>
      <c r="T21" s="31">
        <v>50</v>
      </c>
      <c r="U21" s="31">
        <f>U29</f>
        <v>10.199999999999999</v>
      </c>
      <c r="V21" s="33">
        <v>45</v>
      </c>
      <c r="W21" s="31">
        <f t="shared" si="3"/>
        <v>0.99999999999999989</v>
      </c>
      <c r="X21" s="31">
        <v>100</v>
      </c>
      <c r="Y21" s="31" t="s">
        <v>62</v>
      </c>
    </row>
    <row r="22" spans="1:25" ht="15" x14ac:dyDescent="0.25">
      <c r="A22" t="s">
        <v>27</v>
      </c>
      <c r="B22">
        <f t="shared" si="4"/>
        <v>296</v>
      </c>
      <c r="C22">
        <f>B22+(2*T22*W22)</f>
        <v>299</v>
      </c>
      <c r="D22">
        <f t="shared" si="0"/>
        <v>297.5</v>
      </c>
      <c r="E22">
        <f t="shared" si="5"/>
        <v>274</v>
      </c>
      <c r="F22">
        <f>E22+(2*T22*W22)</f>
        <v>277</v>
      </c>
      <c r="G22">
        <f t="shared" si="1"/>
        <v>275.5</v>
      </c>
      <c r="H22">
        <f t="shared" si="6"/>
        <v>81961.25</v>
      </c>
      <c r="I22">
        <f t="shared" si="7"/>
        <v>8.1961249999999999E-2</v>
      </c>
      <c r="J22">
        <f t="shared" si="8"/>
        <v>1.5E-3</v>
      </c>
      <c r="K22" s="7">
        <f>U22</f>
        <v>0.05</v>
      </c>
      <c r="L22" t="str">
        <f t="shared" si="9"/>
        <v>grease</v>
      </c>
      <c r="M22" s="28">
        <f t="shared" ref="M22:M24" si="11">(J22*100)/(I22*K22*X22)</f>
        <v>0.36602662843721878</v>
      </c>
      <c r="N22" s="28">
        <f t="shared" si="2"/>
        <v>54.903994265582817</v>
      </c>
      <c r="O22" s="28">
        <f t="shared" si="10"/>
        <v>95.09600573441719</v>
      </c>
      <c r="P22" t="s">
        <v>27</v>
      </c>
      <c r="Q22" s="31"/>
      <c r="R22" s="31">
        <f>C22</f>
        <v>299</v>
      </c>
      <c r="S22" s="31">
        <f>F22</f>
        <v>277</v>
      </c>
      <c r="T22" s="31">
        <v>1.5</v>
      </c>
      <c r="U22" s="31">
        <f>U42</f>
        <v>0.05</v>
      </c>
      <c r="V22" s="33">
        <v>45</v>
      </c>
      <c r="W22" s="31">
        <f t="shared" si="3"/>
        <v>0.99999999999999989</v>
      </c>
      <c r="X22" s="31">
        <v>100</v>
      </c>
      <c r="Y22" s="31" t="s">
        <v>62</v>
      </c>
    </row>
    <row r="23" spans="1:25" ht="15" x14ac:dyDescent="0.25">
      <c r="A23" t="s">
        <v>28</v>
      </c>
      <c r="B23">
        <f t="shared" si="4"/>
        <v>299</v>
      </c>
      <c r="C23">
        <f>B23+(2*T23*W23)</f>
        <v>307</v>
      </c>
      <c r="D23">
        <f t="shared" si="0"/>
        <v>303</v>
      </c>
      <c r="E23">
        <f t="shared" si="5"/>
        <v>277</v>
      </c>
      <c r="F23">
        <f>E23+(2*T23*W23)</f>
        <v>285</v>
      </c>
      <c r="G23">
        <f t="shared" si="1"/>
        <v>281</v>
      </c>
      <c r="H23">
        <f t="shared" si="6"/>
        <v>85143</v>
      </c>
      <c r="I23">
        <f t="shared" si="7"/>
        <v>8.5142999999999996E-2</v>
      </c>
      <c r="J23">
        <f t="shared" si="8"/>
        <v>4.0000000000000001E-3</v>
      </c>
      <c r="K23" s="7">
        <f>U23</f>
        <v>4.7699999999999996</v>
      </c>
      <c r="L23" t="str">
        <f t="shared" si="9"/>
        <v>insulator</v>
      </c>
      <c r="M23" s="28">
        <f t="shared" si="11"/>
        <v>9.8490119385044456E-3</v>
      </c>
      <c r="N23" s="28">
        <f t="shared" si="2"/>
        <v>1.4773517907756668</v>
      </c>
      <c r="O23" s="28">
        <f t="shared" si="10"/>
        <v>93.618653943641519</v>
      </c>
      <c r="P23" t="s">
        <v>28</v>
      </c>
      <c r="Q23" s="31"/>
      <c r="R23" s="31">
        <f>C23</f>
        <v>307</v>
      </c>
      <c r="S23" s="31">
        <f>F23</f>
        <v>285</v>
      </c>
      <c r="T23" s="32">
        <v>4</v>
      </c>
      <c r="U23" s="31">
        <f>U33</f>
        <v>4.7699999999999996</v>
      </c>
      <c r="V23" s="33">
        <v>45</v>
      </c>
      <c r="W23" s="31">
        <f t="shared" si="3"/>
        <v>0.99999999999999989</v>
      </c>
      <c r="X23" s="31">
        <v>100</v>
      </c>
      <c r="Y23" s="31" t="s">
        <v>62</v>
      </c>
    </row>
    <row r="24" spans="1:25" ht="15" x14ac:dyDescent="0.25">
      <c r="A24" t="s">
        <v>27</v>
      </c>
      <c r="B24">
        <f t="shared" si="4"/>
        <v>307</v>
      </c>
      <c r="C24">
        <f>B24+(2*T24*W24)</f>
        <v>307</v>
      </c>
      <c r="D24">
        <f t="shared" si="0"/>
        <v>307</v>
      </c>
      <c r="E24">
        <f t="shared" si="5"/>
        <v>285</v>
      </c>
      <c r="F24">
        <f>E24+(2*T24*W24)</f>
        <v>285</v>
      </c>
      <c r="G24">
        <f t="shared" si="1"/>
        <v>285</v>
      </c>
      <c r="H24">
        <f t="shared" si="6"/>
        <v>87495</v>
      </c>
      <c r="I24">
        <f t="shared" si="7"/>
        <v>8.7495000000000003E-2</v>
      </c>
      <c r="J24">
        <f t="shared" si="8"/>
        <v>0</v>
      </c>
      <c r="K24" s="7">
        <f>U24</f>
        <v>0.06</v>
      </c>
      <c r="L24" t="str">
        <f t="shared" si="9"/>
        <v>grease</v>
      </c>
      <c r="M24" s="28">
        <f t="shared" si="11"/>
        <v>0</v>
      </c>
      <c r="N24" s="28">
        <f>$Q$5*M24</f>
        <v>0</v>
      </c>
      <c r="O24" s="28">
        <f t="shared" si="10"/>
        <v>93.618653943641519</v>
      </c>
      <c r="P24" t="s">
        <v>27</v>
      </c>
      <c r="Q24" s="31"/>
      <c r="R24" s="31">
        <f>C24</f>
        <v>307</v>
      </c>
      <c r="S24" s="31">
        <f>F24</f>
        <v>285</v>
      </c>
      <c r="T24" s="32">
        <v>0</v>
      </c>
      <c r="U24" s="31">
        <f>U40</f>
        <v>0.06</v>
      </c>
      <c r="V24" s="33">
        <v>45</v>
      </c>
      <c r="W24" s="31">
        <f t="shared" si="3"/>
        <v>0.99999999999999989</v>
      </c>
      <c r="X24" s="31">
        <v>100</v>
      </c>
      <c r="Y24" s="31" t="s">
        <v>62</v>
      </c>
    </row>
    <row r="25" spans="1:25" ht="15" x14ac:dyDescent="0.25">
      <c r="A25" t="s">
        <v>29</v>
      </c>
      <c r="B25">
        <f t="shared" si="4"/>
        <v>307</v>
      </c>
      <c r="C25" s="17"/>
      <c r="D25" s="17"/>
      <c r="E25">
        <f t="shared" si="5"/>
        <v>285</v>
      </c>
      <c r="F25" s="17"/>
      <c r="G25" s="17"/>
      <c r="H25" s="17"/>
      <c r="L25" t="str">
        <f t="shared" si="9"/>
        <v>heatsink</v>
      </c>
      <c r="O25" s="28">
        <f t="shared" si="10"/>
        <v>93.618653943641519</v>
      </c>
      <c r="P25" t="s">
        <v>29</v>
      </c>
      <c r="Q25" s="31"/>
      <c r="R25" s="31"/>
      <c r="S25" s="31"/>
      <c r="T25" s="31"/>
      <c r="U25" s="31"/>
      <c r="V25" s="33"/>
      <c r="W25" s="31"/>
      <c r="X25" s="31"/>
      <c r="Y25" s="31"/>
    </row>
    <row r="26" spans="1:25" ht="15" x14ac:dyDescent="0.25">
      <c r="Q26" s="31"/>
      <c r="R26" s="31"/>
      <c r="S26" s="31"/>
      <c r="T26" s="31"/>
      <c r="U26" s="31"/>
      <c r="V26" s="33"/>
      <c r="W26" s="31"/>
      <c r="X26" s="31"/>
      <c r="Y26" s="31"/>
    </row>
    <row r="27" spans="1:25" ht="15.75" thickBot="1" x14ac:dyDescent="0.3">
      <c r="Q27" s="31"/>
      <c r="R27" s="31"/>
      <c r="S27" s="31"/>
      <c r="T27" s="31"/>
      <c r="U27" s="31"/>
      <c r="V27" s="33"/>
      <c r="W27" s="31"/>
      <c r="X27" s="31"/>
      <c r="Y27" s="31"/>
    </row>
    <row r="28" spans="1:25" ht="15" x14ac:dyDescent="0.25">
      <c r="Q28" s="31"/>
      <c r="R28" s="31"/>
      <c r="S28" s="31"/>
      <c r="T28" s="38" t="s">
        <v>2</v>
      </c>
      <c r="U28" s="34">
        <v>11</v>
      </c>
      <c r="V28" s="33"/>
      <c r="W28" s="31"/>
      <c r="X28" s="31"/>
      <c r="Y28" s="31"/>
    </row>
    <row r="29" spans="1:25" ht="15" x14ac:dyDescent="0.25">
      <c r="Q29" s="31"/>
      <c r="R29" s="31"/>
      <c r="S29" s="31"/>
      <c r="T29" s="39" t="s">
        <v>3</v>
      </c>
      <c r="U29" s="35">
        <v>10.199999999999999</v>
      </c>
      <c r="V29" s="33"/>
      <c r="W29" s="31"/>
      <c r="X29" s="31"/>
      <c r="Y29" s="31"/>
    </row>
    <row r="30" spans="1:25" ht="15" x14ac:dyDescent="0.25">
      <c r="Q30" s="31"/>
      <c r="R30" s="31"/>
      <c r="S30" s="31"/>
      <c r="T30" s="39" t="s">
        <v>5</v>
      </c>
      <c r="U30" s="35">
        <v>7.9</v>
      </c>
      <c r="V30" s="33"/>
      <c r="W30" s="31"/>
      <c r="X30" s="31"/>
      <c r="Y30" s="31"/>
    </row>
    <row r="31" spans="1:25" ht="15" x14ac:dyDescent="0.25">
      <c r="Q31" s="31"/>
      <c r="R31" s="31"/>
      <c r="S31" s="31"/>
      <c r="T31" s="39" t="s">
        <v>13</v>
      </c>
      <c r="U31" s="35">
        <v>6.3</v>
      </c>
      <c r="V31" s="33"/>
      <c r="W31" s="31"/>
      <c r="X31" s="31"/>
      <c r="Y31" s="31"/>
    </row>
    <row r="32" spans="1:25" ht="15" x14ac:dyDescent="0.25">
      <c r="Q32" s="31"/>
      <c r="R32" s="31"/>
      <c r="S32" s="31"/>
      <c r="T32" s="39" t="s">
        <v>4</v>
      </c>
      <c r="U32" s="35">
        <v>5.4</v>
      </c>
      <c r="V32" s="33"/>
      <c r="W32" s="31"/>
      <c r="X32" s="31"/>
      <c r="Y32" s="31"/>
    </row>
    <row r="33" spans="14:25" customFormat="1" ht="15" x14ac:dyDescent="0.25">
      <c r="N33" s="42"/>
      <c r="Q33" s="31"/>
      <c r="R33" s="31"/>
      <c r="S33" s="31"/>
      <c r="T33" s="39" t="s">
        <v>14</v>
      </c>
      <c r="U33" s="35">
        <v>4.7699999999999996</v>
      </c>
      <c r="V33" s="33"/>
      <c r="W33" s="31"/>
      <c r="X33" s="31"/>
      <c r="Y33" s="31"/>
    </row>
    <row r="34" spans="14:25" customFormat="1" ht="15" x14ac:dyDescent="0.25">
      <c r="N34" s="42"/>
      <c r="Q34" s="31"/>
      <c r="R34" s="31"/>
      <c r="S34" s="31"/>
      <c r="T34" s="39" t="s">
        <v>6</v>
      </c>
      <c r="U34" s="35">
        <v>4.3</v>
      </c>
      <c r="V34" s="33"/>
      <c r="W34" s="31"/>
      <c r="X34" s="31"/>
      <c r="Y34" s="31"/>
    </row>
    <row r="35" spans="14:25" customFormat="1" ht="15" x14ac:dyDescent="0.25">
      <c r="N35" s="42"/>
      <c r="Q35" s="31"/>
      <c r="R35" s="31"/>
      <c r="S35" s="31"/>
      <c r="T35" s="39" t="s">
        <v>7</v>
      </c>
      <c r="U35" s="35">
        <v>3.5</v>
      </c>
      <c r="V35" s="33"/>
      <c r="W35" s="31"/>
      <c r="X35" s="31"/>
      <c r="Y35" s="31"/>
    </row>
    <row r="36" spans="14:25" customFormat="1" x14ac:dyDescent="0.3">
      <c r="N36" s="42"/>
      <c r="Q36" s="31"/>
      <c r="R36" s="31"/>
      <c r="S36" s="31"/>
      <c r="T36" s="39" t="s">
        <v>10</v>
      </c>
      <c r="U36" s="35">
        <v>3.3</v>
      </c>
      <c r="V36" s="33"/>
      <c r="W36" s="31"/>
      <c r="X36" s="31"/>
      <c r="Y36" s="31"/>
    </row>
    <row r="37" spans="14:25" customFormat="1" x14ac:dyDescent="0.3">
      <c r="N37" s="42"/>
      <c r="Q37" s="31"/>
      <c r="R37" s="31"/>
      <c r="S37" s="31"/>
      <c r="T37" s="39" t="s">
        <v>12</v>
      </c>
      <c r="U37" s="35">
        <v>1.25</v>
      </c>
      <c r="V37" s="33"/>
      <c r="W37" s="31"/>
      <c r="X37" s="31"/>
      <c r="Y37" s="31"/>
    </row>
    <row r="38" spans="14:25" customFormat="1" x14ac:dyDescent="0.3">
      <c r="N38" s="42"/>
      <c r="Q38" s="31"/>
      <c r="R38" s="31"/>
      <c r="S38" s="31"/>
      <c r="T38" s="39" t="s">
        <v>18</v>
      </c>
      <c r="U38" s="35">
        <v>0.89</v>
      </c>
      <c r="V38" s="33"/>
      <c r="W38" s="31"/>
      <c r="X38" s="31"/>
      <c r="Y38" s="31"/>
    </row>
    <row r="39" spans="14:25" customFormat="1" x14ac:dyDescent="0.3">
      <c r="N39" s="42"/>
      <c r="Q39" s="31"/>
      <c r="R39" s="31"/>
      <c r="S39" s="31"/>
      <c r="T39" s="39" t="s">
        <v>11</v>
      </c>
      <c r="U39" s="35">
        <v>0.3</v>
      </c>
      <c r="V39" s="33"/>
      <c r="W39" s="31"/>
      <c r="X39" s="31"/>
      <c r="Y39" s="31"/>
    </row>
    <row r="40" spans="14:25" customFormat="1" x14ac:dyDescent="0.3">
      <c r="N40" s="42"/>
      <c r="Q40" s="31"/>
      <c r="R40" s="31"/>
      <c r="S40" s="31"/>
      <c r="T40" s="39" t="s">
        <v>15</v>
      </c>
      <c r="U40" s="35">
        <v>0.06</v>
      </c>
      <c r="V40" s="33"/>
      <c r="W40" s="31"/>
      <c r="X40" s="31"/>
      <c r="Y40" s="31"/>
    </row>
    <row r="41" spans="14:25" customFormat="1" x14ac:dyDescent="0.3">
      <c r="N41" s="42"/>
      <c r="Q41" s="31"/>
      <c r="R41" s="31"/>
      <c r="S41" s="31"/>
      <c r="T41" s="39" t="s">
        <v>16</v>
      </c>
      <c r="U41" s="35">
        <v>1.4999999999999999E-2</v>
      </c>
      <c r="V41" s="33"/>
      <c r="W41" s="31"/>
      <c r="X41" s="31"/>
      <c r="Y41" s="31"/>
    </row>
    <row r="42" spans="14:25" customFormat="1" ht="15" thickBot="1" x14ac:dyDescent="0.35">
      <c r="N42" s="42"/>
      <c r="Q42" s="31"/>
      <c r="R42" s="31"/>
      <c r="S42" s="31"/>
      <c r="T42" s="40" t="s">
        <v>17</v>
      </c>
      <c r="U42" s="36">
        <v>0.05</v>
      </c>
      <c r="V42" s="33"/>
      <c r="W42" s="31"/>
      <c r="X42" s="31"/>
      <c r="Y42" s="31"/>
    </row>
    <row r="43" spans="14:25" x14ac:dyDescent="0.3">
      <c r="Q43" s="31"/>
      <c r="R43" s="31"/>
      <c r="S43" s="31"/>
      <c r="T43" s="31"/>
      <c r="U43" s="31"/>
      <c r="V43" s="31"/>
      <c r="W43" s="31"/>
      <c r="X43" s="31"/>
      <c r="Y43" s="31"/>
    </row>
    <row r="44" spans="14:25" x14ac:dyDescent="0.3">
      <c r="Q44" s="31"/>
      <c r="R44" s="31"/>
      <c r="S44" s="31"/>
      <c r="T44" s="31"/>
      <c r="U44" s="31"/>
      <c r="V44" s="31"/>
      <c r="W44" s="31"/>
      <c r="X44" s="31"/>
      <c r="Y44" s="31"/>
    </row>
    <row r="45" spans="14:25" x14ac:dyDescent="0.3">
      <c r="Q45" s="31"/>
      <c r="R45" s="31"/>
      <c r="S45" s="31"/>
      <c r="T45" s="31"/>
      <c r="U45" s="31"/>
      <c r="V45" s="31"/>
      <c r="W45" s="31"/>
      <c r="X45" s="31"/>
      <c r="Y45" s="3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spreadsheet from die to sink</vt:lpstr>
      <vt:lpstr>conductivity values</vt:lpstr>
      <vt:lpstr>figure 10</vt:lpstr>
      <vt:lpstr>figure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Escallier, John</dc:creator>
  <cp:lastModifiedBy>Jan Didden</cp:lastModifiedBy>
  <dcterms:created xsi:type="dcterms:W3CDTF">2013-04-18T19:21:32Z</dcterms:created>
  <dcterms:modified xsi:type="dcterms:W3CDTF">2016-03-27T09:34:27Z</dcterms:modified>
</cp:coreProperties>
</file>